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Password="DD03" lockStructure="1"/>
  <bookViews>
    <workbookView xWindow="240" yWindow="420" windowWidth="14805" windowHeight="7695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30" i="22" s="1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M30" i="22" l="1"/>
  <c r="P31" i="22"/>
  <c r="R30" i="22"/>
  <c r="K31" i="22"/>
  <c r="I31" i="22"/>
  <c r="I32" i="22" s="1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O33" i="22" l="1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J33" i="22"/>
  <c r="Q45" i="22"/>
  <c r="Q47" i="22" s="1"/>
  <c r="Q33" i="22"/>
  <c r="I45" i="22"/>
  <c r="I47" i="22" s="1"/>
  <c r="I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K33" i="22" l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J35" i="22"/>
  <c r="J37" i="22" s="1"/>
  <c r="J49" i="22" s="1"/>
  <c r="J53" i="22" s="1"/>
  <c r="J34" i="22"/>
  <c r="J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K35" i="22"/>
  <c r="K37" i="22" s="1"/>
  <c r="K49" i="22" s="1"/>
  <c r="K53" i="22" s="1"/>
  <c r="K34" i="22"/>
  <c r="K36" i="22" s="1"/>
  <c r="M48" i="22"/>
  <c r="M52" i="22" s="1"/>
  <c r="M54" i="22" s="1"/>
  <c r="M80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O38" i="22" l="1"/>
  <c r="O55" i="22" s="1"/>
  <c r="P34" i="22"/>
  <c r="P36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K54" i="22" s="1"/>
  <c r="K80" i="22" s="1"/>
  <c r="K38" i="22"/>
  <c r="P48" i="22"/>
  <c r="P52" i="22" s="1"/>
  <c r="P54" i="22" s="1"/>
  <c r="P80" i="22" s="1"/>
  <c r="P38" i="22"/>
  <c r="I38" i="22"/>
  <c r="I48" i="22"/>
  <c r="I52" i="22" s="1"/>
  <c r="I54" i="22" s="1"/>
  <c r="I80" i="22" s="1"/>
  <c r="Q48" i="22"/>
  <c r="Q52" i="22" s="1"/>
  <c r="Q54" i="22" s="1"/>
  <c r="Q80" i="22" s="1"/>
  <c r="Q38" i="22"/>
  <c r="J48" i="22"/>
  <c r="J52" i="22" s="1"/>
  <c r="J54" i="22" s="1"/>
  <c r="J80" i="22" s="1"/>
  <c r="J38" i="22"/>
  <c r="R48" i="22"/>
  <c r="R52" i="22" s="1"/>
  <c r="R54" i="22" s="1"/>
  <c r="R80" i="22" s="1"/>
  <c r="R38" i="22"/>
  <c r="O79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N38" i="22" l="1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P55" i="22"/>
  <c r="P79" i="22"/>
  <c r="N79" i="22"/>
  <c r="R55" i="22"/>
  <c r="R79" i="22"/>
  <c r="J55" i="22"/>
  <c r="J79" i="22"/>
  <c r="K55" i="22"/>
  <c r="K79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F79" i="22" l="1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D25" i="24" s="1"/>
  <c r="D27" i="24" s="1"/>
  <c r="W43" i="22"/>
  <c r="U44" i="22"/>
  <c r="U43" i="22"/>
  <c r="V54" i="22" l="1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<sst xmlns="http://schemas.openxmlformats.org/spreadsheetml/2006/main" count="175" uniqueCount="125">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</sst>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selection activeCell="W10" sqref="W10"/>
    </sheetView>
  </sheetViews>
  <sheetFormatPr defaultRowHeight="15" customHeight="1"/>
  <cols>
    <col min="1" max="1" width="30.5" style="1" customWidth="1"/>
    <col min="2" max="22" width="12.5" style="1" hidden="1" customWidth="1"/>
    <col min="23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>
      <c r="A1" s="297" t="s">
        <v>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Y1" s="12"/>
      <c r="Z1" s="13"/>
      <c r="AA1" s="6"/>
      <c r="AM1" s="1" t="s">
        <v>2</v>
      </c>
    </row>
    <row r="2" spans="1:43" ht="15" customHeight="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8" t="s">
        <v>3</v>
      </c>
      <c r="X2" s="299"/>
      <c r="Y2" s="14">
        <f>入力欄!D12</f>
        <v>0</v>
      </c>
      <c r="Z2" s="15" t="s">
        <v>4</v>
      </c>
      <c r="AA2" s="6"/>
      <c r="AH2" s="300" t="str">
        <f>IF(Y2&gt;0,IF(Y2=1,"夫婦","多妻?"),"独身")</f>
        <v>独身</v>
      </c>
      <c r="AI2" s="300"/>
      <c r="AM2" s="7"/>
      <c r="AN2" s="301" t="s">
        <v>5</v>
      </c>
      <c r="AO2" s="301"/>
      <c r="AP2" s="301" t="s">
        <v>6</v>
      </c>
      <c r="AQ2" s="301"/>
    </row>
    <row r="3" spans="1:43" ht="15" customHeight="1" thickBot="1">
      <c r="A3" s="16" t="s">
        <v>44</v>
      </c>
      <c r="B3" s="17">
        <v>25</v>
      </c>
      <c r="C3" s="18" t="s">
        <v>43</v>
      </c>
      <c r="W3" s="302" t="s">
        <v>7</v>
      </c>
      <c r="X3" s="303"/>
      <c r="Y3" s="19"/>
      <c r="Z3" s="20"/>
      <c r="AA3" s="6"/>
      <c r="AC3" s="13" t="s">
        <v>8</v>
      </c>
      <c r="AD3" s="13"/>
      <c r="AE3" s="13" t="s">
        <v>9</v>
      </c>
      <c r="AF3" s="13"/>
      <c r="AH3" s="300"/>
      <c r="AI3" s="300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>
      <c r="W4" s="304" t="str">
        <f>IF(B3&gt;23,"16歳未満","")</f>
        <v>16歳未満</v>
      </c>
      <c r="X4" s="305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6" t="str">
        <f>IF((Y5+Y6+Y7)&gt;0,"控除対象扶養","")</f>
        <v/>
      </c>
      <c r="AI4" s="306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>
      <c r="W5" s="304" t="str">
        <f>IF(B3&gt;23,"16歳以上19歳未満","扶養親族")</f>
        <v>16歳以上19歳未満</v>
      </c>
      <c r="X5" s="305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6"/>
      <c r="AI5" s="306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>
      <c r="V6" s="33"/>
      <c r="W6" s="307" t="str">
        <f>IF(B3&gt;23,"19歳以上23歳未満","特定扶養親族")</f>
        <v>19歳以上23歳未満</v>
      </c>
      <c r="X6" s="308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6" t="str">
        <f>IF(Y6&gt;0,"うち特定扶養","")</f>
        <v/>
      </c>
      <c r="AI6" s="306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>
      <c r="B7" s="35"/>
      <c r="C7" s="36"/>
      <c r="V7" s="37"/>
      <c r="W7" s="309" t="str">
        <f>IF(B3&gt;23,"23歳以上","")</f>
        <v>23歳以上</v>
      </c>
      <c r="X7" s="310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6"/>
      <c r="AI7" s="306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1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2250000</v>
      </c>
      <c r="F10" s="6">
        <f t="shared" si="0"/>
        <v>2300000</v>
      </c>
      <c r="G10" s="6">
        <f t="shared" si="0"/>
        <v>2300000</v>
      </c>
      <c r="H10" s="6">
        <f t="shared" si="0"/>
        <v>2300000</v>
      </c>
      <c r="I10" s="6">
        <f t="shared" si="0"/>
        <v>2300000</v>
      </c>
      <c r="J10" s="6">
        <f t="shared" si="0"/>
        <v>2300000</v>
      </c>
      <c r="K10" s="6">
        <f t="shared" si="0"/>
        <v>2300000</v>
      </c>
      <c r="L10" s="6">
        <f t="shared" si="0"/>
        <v>2300000</v>
      </c>
      <c r="M10" s="6">
        <f t="shared" si="0"/>
        <v>2300000</v>
      </c>
      <c r="N10" s="6">
        <f t="shared" si="0"/>
        <v>2300000</v>
      </c>
      <c r="O10" s="6">
        <f t="shared" si="0"/>
        <v>2300000</v>
      </c>
      <c r="P10" s="6">
        <f t="shared" si="0"/>
        <v>2300000</v>
      </c>
      <c r="Q10" s="6">
        <f t="shared" si="0"/>
        <v>2300000</v>
      </c>
      <c r="R10" s="6">
        <f t="shared" si="0"/>
        <v>2300000</v>
      </c>
      <c r="S10" s="6">
        <f t="shared" si="0"/>
        <v>2300000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2">
        <f>X9*VLOOKUP(X9,$AC$6:$AD$11,2)+VLOOKUP(X9,$AC$14:$AD$19,2)</f>
        <v>16700000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8750000</v>
      </c>
      <c r="F11" s="53">
        <f t="shared" ref="F11:S11" si="3">F9-F10</f>
        <v>9700000</v>
      </c>
      <c r="G11" s="53">
        <f t="shared" si="3"/>
        <v>10700000</v>
      </c>
      <c r="H11" s="53">
        <f t="shared" ref="H11:R11" si="4">H9-H10</f>
        <v>11700000</v>
      </c>
      <c r="I11" s="53">
        <f t="shared" si="4"/>
        <v>12700000</v>
      </c>
      <c r="J11" s="53">
        <f t="shared" si="4"/>
        <v>13700000</v>
      </c>
      <c r="K11" s="53">
        <f t="shared" si="4"/>
        <v>14700000</v>
      </c>
      <c r="L11" s="53">
        <f t="shared" si="4"/>
        <v>15700000</v>
      </c>
      <c r="M11" s="53">
        <f t="shared" si="4"/>
        <v>16700000</v>
      </c>
      <c r="N11" s="53">
        <f t="shared" si="4"/>
        <v>17700000</v>
      </c>
      <c r="O11" s="53">
        <f t="shared" si="4"/>
        <v>18700000</v>
      </c>
      <c r="P11" s="53">
        <f t="shared" si="4"/>
        <v>19700000</v>
      </c>
      <c r="Q11" s="53">
        <f t="shared" si="4"/>
        <v>20700000</v>
      </c>
      <c r="R11" s="53">
        <f t="shared" si="4"/>
        <v>21700000</v>
      </c>
      <c r="S11" s="53">
        <f t="shared" si="3"/>
        <v>22700000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3">
        <f t="shared" si="1"/>
        <v>283300000</v>
      </c>
      <c r="Y11" s="6"/>
      <c r="Z11" s="6"/>
      <c r="AA11" s="6"/>
      <c r="AC11" s="56">
        <v>10000001</v>
      </c>
      <c r="AD11" s="57">
        <v>0.05</v>
      </c>
      <c r="AE11" s="56">
        <v>10000001</v>
      </c>
      <c r="AF11" s="57">
        <v>0.05</v>
      </c>
    </row>
    <row r="12" spans="1:43" ht="15" customHeight="1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4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5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4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5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3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 t="shared" si="13"/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3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3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3">
        <f>IF(X11&lt;10000000,IF($Y$2=1,$AD$33,0),0)</f>
        <v>0</v>
      </c>
      <c r="Y19" s="6"/>
      <c r="Z19" s="6"/>
      <c r="AA19" s="6"/>
      <c r="AC19" s="73">
        <v>10000001</v>
      </c>
      <c r="AD19" s="74">
        <v>1700000</v>
      </c>
      <c r="AE19" s="73">
        <v>10000001</v>
      </c>
      <c r="AF19" s="74">
        <v>1700000</v>
      </c>
    </row>
    <row r="20" spans="1:32" ht="15" customHeight="1" thickBot="1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3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75">
        <v>2300000</v>
      </c>
      <c r="AE20" s="62">
        <v>12000001</v>
      </c>
      <c r="AF20" s="75">
        <v>2300000</v>
      </c>
    </row>
    <row r="21" spans="1:32" ht="15" customHeight="1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3">
        <f>$AD$31</f>
        <v>330000</v>
      </c>
      <c r="Y21" s="6"/>
      <c r="Z21" s="6"/>
      <c r="AA21" s="6"/>
      <c r="AC21" s="76" t="s">
        <v>29</v>
      </c>
      <c r="AD21" s="77"/>
      <c r="AE21" s="76" t="s">
        <v>29</v>
      </c>
      <c r="AF21" s="77"/>
    </row>
    <row r="22" spans="1:32" ht="15" customHeight="1">
      <c r="A22" s="78" t="s">
        <v>26</v>
      </c>
      <c r="B22" s="50">
        <f t="shared" ref="B22:X22" si="18">SUM(B17:B21)</f>
        <v>1380000</v>
      </c>
      <c r="C22" s="51">
        <f>SUM(C17:C21)</f>
        <v>1380000</v>
      </c>
      <c r="D22" s="79">
        <f>SUM(D17:D21)</f>
        <v>330000</v>
      </c>
      <c r="E22" s="80">
        <f t="shared" ref="E22:U22" si="19">SUM(E17:E21)</f>
        <v>1740000</v>
      </c>
      <c r="F22" s="79">
        <f t="shared" ref="F22:S22" si="20">SUM(F17:F21)</f>
        <v>1770000</v>
      </c>
      <c r="G22" s="79">
        <f t="shared" si="20"/>
        <v>1800000</v>
      </c>
      <c r="H22" s="79">
        <f t="shared" ref="H22:R22" si="21">SUM(H17:H21)</f>
        <v>1830000</v>
      </c>
      <c r="I22" s="79">
        <f t="shared" si="21"/>
        <v>1860000</v>
      </c>
      <c r="J22" s="79">
        <f t="shared" si="21"/>
        <v>1890000</v>
      </c>
      <c r="K22" s="79">
        <f t="shared" si="21"/>
        <v>1920000</v>
      </c>
      <c r="L22" s="79">
        <f t="shared" si="21"/>
        <v>1950000</v>
      </c>
      <c r="M22" s="79">
        <f t="shared" si="21"/>
        <v>1950000</v>
      </c>
      <c r="N22" s="79">
        <f t="shared" si="21"/>
        <v>1950000</v>
      </c>
      <c r="O22" s="79">
        <f t="shared" si="21"/>
        <v>1950000</v>
      </c>
      <c r="P22" s="79">
        <f t="shared" si="21"/>
        <v>1950000</v>
      </c>
      <c r="Q22" s="79">
        <f t="shared" si="21"/>
        <v>1950000</v>
      </c>
      <c r="R22" s="79">
        <f t="shared" si="21"/>
        <v>1950000</v>
      </c>
      <c r="S22" s="79">
        <f t="shared" si="20"/>
        <v>1950000</v>
      </c>
      <c r="T22" s="79"/>
      <c r="U22" s="79">
        <f t="shared" si="19"/>
        <v>330000</v>
      </c>
      <c r="V22" s="79">
        <f t="shared" si="18"/>
        <v>330000</v>
      </c>
      <c r="W22" s="81">
        <f t="shared" si="18"/>
        <v>330000</v>
      </c>
      <c r="X22" s="226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3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7010000</v>
      </c>
      <c r="F24" s="53">
        <f t="shared" ref="F24:S24" si="23">ROUNDDOWN(IF(F11-F22&lt;0,0,F11-F22),-3)</f>
        <v>7930000</v>
      </c>
      <c r="G24" s="53">
        <f t="shared" si="23"/>
        <v>8900000</v>
      </c>
      <c r="H24" s="53">
        <f t="shared" ref="H24:R24" si="24">ROUNDDOWN(IF(H11-H22&lt;0,0,H11-H22),-3)</f>
        <v>9870000</v>
      </c>
      <c r="I24" s="53">
        <f t="shared" si="24"/>
        <v>10840000</v>
      </c>
      <c r="J24" s="53">
        <f t="shared" si="24"/>
        <v>11810000</v>
      </c>
      <c r="K24" s="53">
        <f t="shared" si="24"/>
        <v>12780000</v>
      </c>
      <c r="L24" s="53">
        <f t="shared" si="24"/>
        <v>13750000</v>
      </c>
      <c r="M24" s="53">
        <f t="shared" si="24"/>
        <v>14750000</v>
      </c>
      <c r="N24" s="53">
        <f t="shared" si="24"/>
        <v>15750000</v>
      </c>
      <c r="O24" s="53">
        <f t="shared" si="24"/>
        <v>16750000</v>
      </c>
      <c r="P24" s="53">
        <f t="shared" si="24"/>
        <v>17750000</v>
      </c>
      <c r="Q24" s="53">
        <f t="shared" si="24"/>
        <v>18750000</v>
      </c>
      <c r="R24" s="53">
        <f t="shared" si="24"/>
        <v>19750000</v>
      </c>
      <c r="S24" s="53">
        <f t="shared" si="23"/>
        <v>20750000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3">
        <f t="shared" si="22"/>
        <v>281350000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>
      <c r="A25" s="82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3">
        <f t="shared" si="25"/>
        <v>0</v>
      </c>
      <c r="E25" s="84">
        <f t="shared" si="25"/>
        <v>420600</v>
      </c>
      <c r="F25" s="83">
        <f t="shared" si="25"/>
        <v>475800</v>
      </c>
      <c r="G25" s="83">
        <f t="shared" si="25"/>
        <v>534000</v>
      </c>
      <c r="H25" s="83">
        <f t="shared" si="25"/>
        <v>592200</v>
      </c>
      <c r="I25" s="83">
        <f t="shared" si="25"/>
        <v>650400</v>
      </c>
      <c r="J25" s="83">
        <f t="shared" si="25"/>
        <v>708600</v>
      </c>
      <c r="K25" s="83">
        <f t="shared" si="25"/>
        <v>766800</v>
      </c>
      <c r="L25" s="83">
        <f t="shared" si="25"/>
        <v>825000</v>
      </c>
      <c r="M25" s="83">
        <f t="shared" si="25"/>
        <v>885000</v>
      </c>
      <c r="N25" s="83">
        <f t="shared" si="25"/>
        <v>945000</v>
      </c>
      <c r="O25" s="83">
        <f t="shared" si="25"/>
        <v>1005000</v>
      </c>
      <c r="P25" s="83">
        <f t="shared" si="25"/>
        <v>1065000</v>
      </c>
      <c r="Q25" s="83">
        <f t="shared" si="25"/>
        <v>1125000</v>
      </c>
      <c r="R25" s="83">
        <f t="shared" si="25"/>
        <v>1185000</v>
      </c>
      <c r="S25" s="83">
        <f t="shared" si="25"/>
        <v>1245000</v>
      </c>
      <c r="T25" s="83"/>
      <c r="U25" s="83">
        <f>ROUNDDOWN(U24*VLOOKUP(U24,$AA$38:$AB$41,2)-VLOOKUP(U24,$AC$48:$AD$51,2),-2)</f>
        <v>0</v>
      </c>
      <c r="V25" s="83">
        <f>ROUNDDOWN(V24*VLOOKUP(V24,$AA$38:$AB$41,2)-VLOOKUP(V24,$AC$48:$AD$51,2),-2)</f>
        <v>0</v>
      </c>
      <c r="W25" s="85">
        <f>ROUNDDOWN(W24*VLOOKUP(W24,$AA$38:$AB$41,2)-VLOOKUP(W24,$AC$48:$AD$51,2),-2)</f>
        <v>0</v>
      </c>
      <c r="X25" s="227">
        <f>ROUNDDOWN(X24*VLOOKUP(X24,$AA$38:$AB$41,2)-VLOOKUP(X24,$AC$48:$AD$51,2),-2)</f>
        <v>16881000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>
      <c r="A26" s="82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3">
        <f t="shared" si="26"/>
        <v>0</v>
      </c>
      <c r="E26" s="84">
        <f t="shared" si="26"/>
        <v>280400</v>
      </c>
      <c r="F26" s="83">
        <f t="shared" si="26"/>
        <v>317200</v>
      </c>
      <c r="G26" s="83">
        <f t="shared" si="26"/>
        <v>356000</v>
      </c>
      <c r="H26" s="83">
        <f t="shared" si="26"/>
        <v>394800</v>
      </c>
      <c r="I26" s="83">
        <f t="shared" si="26"/>
        <v>433600</v>
      </c>
      <c r="J26" s="83">
        <f t="shared" si="26"/>
        <v>472400</v>
      </c>
      <c r="K26" s="83">
        <f t="shared" si="26"/>
        <v>511200</v>
      </c>
      <c r="L26" s="83">
        <f t="shared" si="26"/>
        <v>550000</v>
      </c>
      <c r="M26" s="83">
        <f t="shared" si="26"/>
        <v>590000</v>
      </c>
      <c r="N26" s="83">
        <f t="shared" si="26"/>
        <v>630000</v>
      </c>
      <c r="O26" s="83">
        <f t="shared" si="26"/>
        <v>670000</v>
      </c>
      <c r="P26" s="83">
        <f t="shared" si="26"/>
        <v>710000</v>
      </c>
      <c r="Q26" s="83">
        <f t="shared" si="26"/>
        <v>750000</v>
      </c>
      <c r="R26" s="83">
        <f t="shared" si="26"/>
        <v>790000</v>
      </c>
      <c r="S26" s="83">
        <f t="shared" si="26"/>
        <v>830000</v>
      </c>
      <c r="T26" s="83"/>
      <c r="U26" s="83">
        <f>ROUNDDOWN(U24*VLOOKUP(U24,$AC$38:$AD$41,2)-VLOOKUP(U24,$AC$48:$AD$51,2),-2)</f>
        <v>0</v>
      </c>
      <c r="V26" s="83">
        <f>ROUNDDOWN(V24*VLOOKUP(V24,$AC$38:$AD$41,2)-VLOOKUP(V24,$AC$48:$AD$51,2),-2)</f>
        <v>0</v>
      </c>
      <c r="W26" s="85">
        <f>ROUNDDOWN(W24*VLOOKUP(W24,$AC$38:$AD$41,2)-VLOOKUP(W24,$AC$48:$AD$51,2),-2)</f>
        <v>0</v>
      </c>
      <c r="X26" s="227">
        <f>ROUNDDOWN(X24*VLOOKUP(X24,$AC$38:$AD$41,2)-VLOOKUP(X24,$AC$48:$AD$51,2),-2)</f>
        <v>11254000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>
      <c r="A27" s="49" t="s">
        <v>28</v>
      </c>
      <c r="B27" s="86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7">
        <f t="shared" si="27"/>
        <v>50000</v>
      </c>
      <c r="D27" s="88">
        <f t="shared" si="27"/>
        <v>50000</v>
      </c>
      <c r="E27" s="89">
        <f t="shared" si="27"/>
        <v>50000</v>
      </c>
      <c r="F27" s="88">
        <f t="shared" si="27"/>
        <v>50000</v>
      </c>
      <c r="G27" s="88">
        <f t="shared" si="27"/>
        <v>50000</v>
      </c>
      <c r="H27" s="88">
        <f t="shared" si="27"/>
        <v>50000</v>
      </c>
      <c r="I27" s="88">
        <f t="shared" si="27"/>
        <v>50000</v>
      </c>
      <c r="J27" s="88">
        <f t="shared" si="27"/>
        <v>50000</v>
      </c>
      <c r="K27" s="88">
        <f t="shared" si="27"/>
        <v>50000</v>
      </c>
      <c r="L27" s="88">
        <f t="shared" si="27"/>
        <v>50000</v>
      </c>
      <c r="M27" s="88">
        <f t="shared" si="27"/>
        <v>50000</v>
      </c>
      <c r="N27" s="88">
        <f t="shared" si="27"/>
        <v>50000</v>
      </c>
      <c r="O27" s="88">
        <f t="shared" si="27"/>
        <v>50000</v>
      </c>
      <c r="P27" s="88">
        <f t="shared" si="27"/>
        <v>50000</v>
      </c>
      <c r="Q27" s="88">
        <f t="shared" si="27"/>
        <v>50000</v>
      </c>
      <c r="R27" s="88">
        <f t="shared" si="27"/>
        <v>50000</v>
      </c>
      <c r="S27" s="88">
        <f t="shared" si="27"/>
        <v>50000</v>
      </c>
      <c r="T27" s="88"/>
      <c r="U27" s="88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8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90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8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U28" si="28">IF(E24&gt;2000000,IF(((E27-(E24-2000000))*0.03)&lt;=1500,1500,((E27-(E24-2000000))*0.03)),IF(E24&gt;E27,E27*0.03,E24*0.03))</f>
        <v>1500</v>
      </c>
      <c r="F28" s="83">
        <f t="shared" ref="F28:S28" si="29">IF(F24&gt;2000000,IF(((F27-(F24-2000000))*0.03)&lt;=1500,1500,((F27-(F24-2000000))*0.03)),IF(F24&gt;F27,F27*0.03,F24*0.03))</f>
        <v>1500</v>
      </c>
      <c r="G28" s="83">
        <f t="shared" si="29"/>
        <v>1500</v>
      </c>
      <c r="H28" s="83">
        <f t="shared" ref="H28:R28" si="30">IF(H24&gt;2000000,IF(((H27-(H24-2000000))*0.03)&lt;=1500,1500,((H27-(H24-2000000))*0.03)),IF(H24&gt;H27,H27*0.03,H24*0.03))</f>
        <v>1500</v>
      </c>
      <c r="I28" s="83">
        <f t="shared" si="30"/>
        <v>1500</v>
      </c>
      <c r="J28" s="83">
        <f t="shared" si="30"/>
        <v>1500</v>
      </c>
      <c r="K28" s="83">
        <f t="shared" si="30"/>
        <v>1500</v>
      </c>
      <c r="L28" s="83">
        <f t="shared" si="30"/>
        <v>1500</v>
      </c>
      <c r="M28" s="83">
        <f t="shared" si="30"/>
        <v>1500</v>
      </c>
      <c r="N28" s="83">
        <f t="shared" si="30"/>
        <v>1500</v>
      </c>
      <c r="O28" s="83">
        <f t="shared" si="30"/>
        <v>1500</v>
      </c>
      <c r="P28" s="83">
        <f t="shared" si="30"/>
        <v>1500</v>
      </c>
      <c r="Q28" s="83">
        <f t="shared" si="30"/>
        <v>1500</v>
      </c>
      <c r="R28" s="83">
        <f t="shared" si="30"/>
        <v>1500</v>
      </c>
      <c r="S28" s="83">
        <f t="shared" si="29"/>
        <v>1500</v>
      </c>
      <c r="T28" s="83"/>
      <c r="U28" s="83">
        <f t="shared" si="28"/>
        <v>0</v>
      </c>
      <c r="V28" s="83">
        <f>IF(V24&gt;2000000,IF(((V27-(V24-2000000))*0.03)&lt;=1500,1500,((V27-(V24-2000000))*0.03)),IF(V24&gt;V27,V27*0.03,V24*0.03))</f>
        <v>0</v>
      </c>
      <c r="W28" s="85">
        <f>IF(W24&gt;2000000,IF(((W27-(W24-2000000))*0.03)&lt;=1500,1500,((W27-(W24-2000000))*0.03)),IF(W24&gt;W27,W27*0.03,W24*0.03))</f>
        <v>0</v>
      </c>
      <c r="X28" s="227">
        <f>IF(X24&gt;2000000,IF(((X27-(X24-2000000))*0.03)&lt;=1500,1500,((X27-(X24-2000000))*0.03)),IF(X24&gt;X27,X27*0.03,X24*0.03))</f>
        <v>1500</v>
      </c>
      <c r="Y28" s="91"/>
      <c r="Z28" s="91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U29" si="31">IF(E24&gt;2000000,IF(((E27-(E24-2000000))*0.02)&lt;=1000,1000,((E27-(E24-2000000))*0.02)),IF(E24&gt;E27,E27*0.02,E24*0.02))</f>
        <v>1000</v>
      </c>
      <c r="F29" s="83">
        <f t="shared" ref="F29:S29" si="32">IF(F24&gt;2000000,IF(((F27-(F24-2000000))*0.02)&lt;=1000,1000,((F27-(F24-2000000))*0.02)),IF(F24&gt;F27,F27*0.02,F24*0.02))</f>
        <v>1000</v>
      </c>
      <c r="G29" s="83">
        <f t="shared" si="32"/>
        <v>1000</v>
      </c>
      <c r="H29" s="83">
        <f t="shared" ref="H29:R29" si="33">IF(H24&gt;2000000,IF(((H27-(H24-2000000))*0.02)&lt;=1000,1000,((H27-(H24-2000000))*0.02)),IF(H24&gt;H27,H27*0.02,H24*0.02))</f>
        <v>1000</v>
      </c>
      <c r="I29" s="83">
        <f t="shared" si="33"/>
        <v>1000</v>
      </c>
      <c r="J29" s="83">
        <f t="shared" si="33"/>
        <v>1000</v>
      </c>
      <c r="K29" s="83">
        <f t="shared" si="33"/>
        <v>1000</v>
      </c>
      <c r="L29" s="83">
        <f t="shared" si="33"/>
        <v>1000</v>
      </c>
      <c r="M29" s="83">
        <f t="shared" si="33"/>
        <v>1000</v>
      </c>
      <c r="N29" s="83">
        <f t="shared" si="33"/>
        <v>1000</v>
      </c>
      <c r="O29" s="83">
        <f t="shared" si="33"/>
        <v>1000</v>
      </c>
      <c r="P29" s="83">
        <f t="shared" si="33"/>
        <v>1000</v>
      </c>
      <c r="Q29" s="83">
        <f t="shared" si="33"/>
        <v>1000</v>
      </c>
      <c r="R29" s="83">
        <f t="shared" si="33"/>
        <v>1000</v>
      </c>
      <c r="S29" s="83">
        <f t="shared" si="32"/>
        <v>1000</v>
      </c>
      <c r="T29" s="83"/>
      <c r="U29" s="83">
        <f t="shared" si="31"/>
        <v>0</v>
      </c>
      <c r="V29" s="83">
        <f>IF(V24&gt;2000000,IF(((V27-(V24-2000000))*0.02)&lt;=1000,1000,((V27-(V24-2000000))*0.02)),IF(V24&gt;V27,V27*0.02,V24*0.02))</f>
        <v>0</v>
      </c>
      <c r="W29" s="85">
        <f>IF(W24&gt;2000000,IF(((W27-(W24-2000000))*0.02)&lt;=1000,1000,((W27-(W24-2000000))*0.02)),IF(W24&gt;W27,W27*0.02,W24*0.02))</f>
        <v>0</v>
      </c>
      <c r="X29" s="227">
        <f>IF(X24&gt;2000000,IF(((X27-(X24-2000000))*0.02)&lt;=1000,1000,((X27-(X24-2000000))*0.02)),IF(X24&gt;X27,X27*0.02,X24*0.02))</f>
        <v>1000</v>
      </c>
      <c r="Y29" s="91"/>
      <c r="Z29" s="91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>
      <c r="A30" s="82" t="s">
        <v>61</v>
      </c>
      <c r="B30" s="50">
        <f>B25-B28</f>
        <v>221700</v>
      </c>
      <c r="C30" s="50">
        <f t="shared" ref="C30:X31" si="34">C25-C28</f>
        <v>221700</v>
      </c>
      <c r="D30" s="83">
        <f t="shared" si="34"/>
        <v>0</v>
      </c>
      <c r="E30" s="84">
        <f>E25-E28</f>
        <v>419100</v>
      </c>
      <c r="F30" s="83">
        <f t="shared" ref="F30:S30" si="35">F25-F28</f>
        <v>474300</v>
      </c>
      <c r="G30" s="83">
        <f t="shared" si="35"/>
        <v>532500</v>
      </c>
      <c r="H30" s="83">
        <f t="shared" ref="H30:R30" si="36">H25-H28</f>
        <v>590700</v>
      </c>
      <c r="I30" s="83">
        <f t="shared" si="36"/>
        <v>648900</v>
      </c>
      <c r="J30" s="83">
        <f t="shared" si="36"/>
        <v>707100</v>
      </c>
      <c r="K30" s="83">
        <f t="shared" si="36"/>
        <v>765300</v>
      </c>
      <c r="L30" s="83">
        <f t="shared" si="36"/>
        <v>823500</v>
      </c>
      <c r="M30" s="83">
        <f t="shared" si="36"/>
        <v>883500</v>
      </c>
      <c r="N30" s="83">
        <f t="shared" si="36"/>
        <v>943500</v>
      </c>
      <c r="O30" s="83">
        <f t="shared" si="36"/>
        <v>1003500</v>
      </c>
      <c r="P30" s="83">
        <f t="shared" si="36"/>
        <v>1063500</v>
      </c>
      <c r="Q30" s="83">
        <f t="shared" si="36"/>
        <v>1123500</v>
      </c>
      <c r="R30" s="83">
        <f t="shared" si="36"/>
        <v>1183500</v>
      </c>
      <c r="S30" s="83">
        <f t="shared" si="35"/>
        <v>1243500</v>
      </c>
      <c r="T30" s="83"/>
      <c r="U30" s="83">
        <f t="shared" si="34"/>
        <v>0</v>
      </c>
      <c r="V30" s="83">
        <f>V25-V28</f>
        <v>0</v>
      </c>
      <c r="W30" s="85">
        <f t="shared" si="34"/>
        <v>0</v>
      </c>
      <c r="X30" s="227">
        <f t="shared" si="34"/>
        <v>16879500</v>
      </c>
      <c r="Y30" s="53"/>
      <c r="Z30" s="53"/>
      <c r="AA30" s="91"/>
      <c r="AC30" s="92" t="s">
        <v>31</v>
      </c>
      <c r="AD30" s="93"/>
      <c r="AE30" s="92" t="s">
        <v>31</v>
      </c>
      <c r="AF30" s="93"/>
    </row>
    <row r="31" spans="1:32" ht="15" customHeight="1">
      <c r="A31" s="82" t="s">
        <v>63</v>
      </c>
      <c r="B31" s="50">
        <f>B26-B29</f>
        <v>147800</v>
      </c>
      <c r="C31" s="50">
        <f t="shared" si="34"/>
        <v>147800</v>
      </c>
      <c r="D31" s="83">
        <f t="shared" si="34"/>
        <v>0</v>
      </c>
      <c r="E31" s="84">
        <f t="shared" si="34"/>
        <v>279400</v>
      </c>
      <c r="F31" s="83">
        <f t="shared" ref="F31:S31" si="37">F26-F29</f>
        <v>316200</v>
      </c>
      <c r="G31" s="83">
        <f t="shared" si="37"/>
        <v>355000</v>
      </c>
      <c r="H31" s="83">
        <f t="shared" ref="H31:R31" si="38">H26-H29</f>
        <v>393800</v>
      </c>
      <c r="I31" s="83">
        <f t="shared" si="38"/>
        <v>432600</v>
      </c>
      <c r="J31" s="83">
        <f t="shared" si="38"/>
        <v>471400</v>
      </c>
      <c r="K31" s="83">
        <f t="shared" si="38"/>
        <v>510200</v>
      </c>
      <c r="L31" s="83">
        <f t="shared" si="38"/>
        <v>549000</v>
      </c>
      <c r="M31" s="83">
        <f t="shared" si="38"/>
        <v>589000</v>
      </c>
      <c r="N31" s="83">
        <f t="shared" si="38"/>
        <v>629000</v>
      </c>
      <c r="O31" s="83">
        <f t="shared" si="38"/>
        <v>669000</v>
      </c>
      <c r="P31" s="83">
        <f t="shared" si="38"/>
        <v>709000</v>
      </c>
      <c r="Q31" s="83">
        <f t="shared" si="38"/>
        <v>749000</v>
      </c>
      <c r="R31" s="83">
        <f t="shared" si="38"/>
        <v>789000</v>
      </c>
      <c r="S31" s="83">
        <f t="shared" si="37"/>
        <v>829000</v>
      </c>
      <c r="T31" s="83"/>
      <c r="U31" s="83">
        <f t="shared" si="34"/>
        <v>0</v>
      </c>
      <c r="V31" s="83">
        <f t="shared" si="34"/>
        <v>0</v>
      </c>
      <c r="W31" s="85">
        <f t="shared" si="34"/>
        <v>0</v>
      </c>
      <c r="X31" s="227">
        <f t="shared" si="34"/>
        <v>11253000</v>
      </c>
      <c r="Y31" s="53"/>
      <c r="Z31" s="53"/>
      <c r="AA31" s="91"/>
      <c r="AC31" s="94" t="s">
        <v>60</v>
      </c>
      <c r="AD31" s="95">
        <v>330000</v>
      </c>
      <c r="AE31" s="96" t="s">
        <v>60</v>
      </c>
      <c r="AF31" s="95">
        <v>380000</v>
      </c>
    </row>
    <row r="32" spans="1:32" ht="15" customHeight="1">
      <c r="A32" s="97" t="s">
        <v>64</v>
      </c>
      <c r="B32" s="50">
        <f>SUM(B30:B31)</f>
        <v>369500</v>
      </c>
      <c r="C32" s="50">
        <f t="shared" ref="C32:X32" si="39">SUM(C30:C31)</f>
        <v>369500</v>
      </c>
      <c r="D32" s="98">
        <f t="shared" si="39"/>
        <v>0</v>
      </c>
      <c r="E32" s="99">
        <f>SUM(E30:E31)</f>
        <v>698500</v>
      </c>
      <c r="F32" s="98">
        <f t="shared" ref="F32:S32" si="40">SUM(F30:F31)</f>
        <v>790500</v>
      </c>
      <c r="G32" s="98">
        <f t="shared" si="40"/>
        <v>887500</v>
      </c>
      <c r="H32" s="98">
        <f t="shared" ref="H32:R32" si="41">SUM(H30:H31)</f>
        <v>984500</v>
      </c>
      <c r="I32" s="98">
        <f t="shared" si="41"/>
        <v>1081500</v>
      </c>
      <c r="J32" s="98">
        <f t="shared" si="41"/>
        <v>1178500</v>
      </c>
      <c r="K32" s="98">
        <f t="shared" si="41"/>
        <v>1275500</v>
      </c>
      <c r="L32" s="98">
        <f t="shared" si="41"/>
        <v>1372500</v>
      </c>
      <c r="M32" s="98">
        <f t="shared" si="41"/>
        <v>1472500</v>
      </c>
      <c r="N32" s="98">
        <f t="shared" si="41"/>
        <v>1572500</v>
      </c>
      <c r="O32" s="98">
        <f t="shared" si="41"/>
        <v>1672500</v>
      </c>
      <c r="P32" s="98">
        <f t="shared" si="41"/>
        <v>1772500</v>
      </c>
      <c r="Q32" s="98">
        <f t="shared" si="41"/>
        <v>1872500</v>
      </c>
      <c r="R32" s="98">
        <f t="shared" si="41"/>
        <v>1972500</v>
      </c>
      <c r="S32" s="98">
        <f t="shared" si="40"/>
        <v>2072500</v>
      </c>
      <c r="T32" s="98"/>
      <c r="U32" s="98">
        <f t="shared" si="39"/>
        <v>0</v>
      </c>
      <c r="V32" s="98">
        <f>SUM(V30:V31)</f>
        <v>0</v>
      </c>
      <c r="W32" s="100">
        <f t="shared" si="39"/>
        <v>0</v>
      </c>
      <c r="X32" s="229">
        <f t="shared" si="39"/>
        <v>28132500</v>
      </c>
      <c r="Y32" s="53"/>
      <c r="Z32" s="53"/>
      <c r="AA32" s="53"/>
      <c r="AC32" s="94" t="s">
        <v>62</v>
      </c>
      <c r="AD32" s="95">
        <v>330000</v>
      </c>
      <c r="AE32" s="96" t="s">
        <v>62</v>
      </c>
      <c r="AF32" s="95">
        <v>380000</v>
      </c>
    </row>
    <row r="33" spans="1:36" ht="15" customHeight="1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2" t="str">
        <f t="shared" si="42"/>
        <v>所得割非課税</v>
      </c>
      <c r="E33" s="103" t="str">
        <f t="shared" si="42"/>
        <v>調整なし</v>
      </c>
      <c r="F33" s="102" t="str">
        <f t="shared" ref="F33:S33" si="43">IF(F13="所得割非課税","所得割非課税",IF(F12&gt;(F11-F32),"調整あり","調整なし"))</f>
        <v>調整なし</v>
      </c>
      <c r="G33" s="102" t="str">
        <f t="shared" si="43"/>
        <v>調整なし</v>
      </c>
      <c r="H33" s="102" t="str">
        <f t="shared" ref="H33:R33" si="44">IF(H13="所得割非課税","所得割非課税",IF(H12&gt;(H11-H32),"調整あり","調整なし"))</f>
        <v>調整なし</v>
      </c>
      <c r="I33" s="102" t="str">
        <f t="shared" si="44"/>
        <v>調整なし</v>
      </c>
      <c r="J33" s="102" t="str">
        <f t="shared" si="44"/>
        <v>調整なし</v>
      </c>
      <c r="K33" s="102" t="str">
        <f t="shared" si="44"/>
        <v>調整なし</v>
      </c>
      <c r="L33" s="102" t="str">
        <f t="shared" si="44"/>
        <v>調整なし</v>
      </c>
      <c r="M33" s="102" t="str">
        <f t="shared" si="44"/>
        <v>調整なし</v>
      </c>
      <c r="N33" s="102" t="str">
        <f t="shared" si="44"/>
        <v>調整なし</v>
      </c>
      <c r="O33" s="102" t="str">
        <f t="shared" si="44"/>
        <v>調整なし</v>
      </c>
      <c r="P33" s="102" t="str">
        <f t="shared" si="44"/>
        <v>調整なし</v>
      </c>
      <c r="Q33" s="102" t="str">
        <f t="shared" si="44"/>
        <v>調整なし</v>
      </c>
      <c r="R33" s="102" t="str">
        <f t="shared" si="44"/>
        <v>調整なし</v>
      </c>
      <c r="S33" s="102" t="str">
        <f t="shared" si="43"/>
        <v>調整なし</v>
      </c>
      <c r="T33" s="102"/>
      <c r="U33" s="102" t="str">
        <f t="shared" si="42"/>
        <v>所得割非課税</v>
      </c>
      <c r="V33" s="102" t="str">
        <f t="shared" si="42"/>
        <v>所得割非課税</v>
      </c>
      <c r="W33" s="104" t="str">
        <f t="shared" si="42"/>
        <v>所得割非課税</v>
      </c>
      <c r="X33" s="230" t="str">
        <f t="shared" si="42"/>
        <v>調整なし</v>
      </c>
      <c r="Y33" s="105" t="s">
        <v>66</v>
      </c>
      <c r="Z33" s="53"/>
      <c r="AA33" s="53"/>
      <c r="AC33" s="94" t="s">
        <v>34</v>
      </c>
      <c r="AD33" s="95">
        <v>0</v>
      </c>
      <c r="AE33" s="96" t="s">
        <v>34</v>
      </c>
      <c r="AF33" s="95">
        <v>0</v>
      </c>
      <c r="AH33" s="6"/>
      <c r="AI33" s="6"/>
      <c r="AJ33" s="6"/>
    </row>
    <row r="34" spans="1:36" ht="15" customHeight="1">
      <c r="A34" s="101" t="s">
        <v>70</v>
      </c>
      <c r="B34" s="86">
        <f>IF(B33="所得割非課税",0,IF(B33="調整なし",0,(B12-(B11-B32)*B30/B32)))</f>
        <v>0</v>
      </c>
      <c r="C34" s="86">
        <f t="shared" ref="C34:X34" si="45">IF(C33="所得割非課税",0,IF(C33="調整なし",0,(C12-(C11-C32)*C30/C32)))</f>
        <v>0</v>
      </c>
      <c r="D34" s="106">
        <f t="shared" si="45"/>
        <v>0</v>
      </c>
      <c r="E34" s="107">
        <f t="shared" si="45"/>
        <v>0</v>
      </c>
      <c r="F34" s="106">
        <f t="shared" ref="F34:S34" si="46">IF(F33="所得割非課税",0,IF(F33="調整なし",0,(F12-(F11-F32)*F30/F32)))</f>
        <v>0</v>
      </c>
      <c r="G34" s="106">
        <f t="shared" si="46"/>
        <v>0</v>
      </c>
      <c r="H34" s="106">
        <f t="shared" ref="H34:R34" si="47">IF(H33="所得割非課税",0,IF(H33="調整なし",0,(H12-(H11-H32)*H30/H32)))</f>
        <v>0</v>
      </c>
      <c r="I34" s="106">
        <f t="shared" si="47"/>
        <v>0</v>
      </c>
      <c r="J34" s="106">
        <f t="shared" si="47"/>
        <v>0</v>
      </c>
      <c r="K34" s="106">
        <f t="shared" si="47"/>
        <v>0</v>
      </c>
      <c r="L34" s="106">
        <f t="shared" si="47"/>
        <v>0</v>
      </c>
      <c r="M34" s="106">
        <f t="shared" si="47"/>
        <v>0</v>
      </c>
      <c r="N34" s="106">
        <f t="shared" si="47"/>
        <v>0</v>
      </c>
      <c r="O34" s="106">
        <f t="shared" si="47"/>
        <v>0</v>
      </c>
      <c r="P34" s="106">
        <f t="shared" si="47"/>
        <v>0</v>
      </c>
      <c r="Q34" s="106">
        <f t="shared" si="47"/>
        <v>0</v>
      </c>
      <c r="R34" s="106">
        <f t="shared" si="47"/>
        <v>0</v>
      </c>
      <c r="S34" s="106">
        <f t="shared" si="46"/>
        <v>0</v>
      </c>
      <c r="T34" s="106"/>
      <c r="U34" s="106">
        <f t="shared" si="45"/>
        <v>0</v>
      </c>
      <c r="V34" s="106">
        <f t="shared" si="45"/>
        <v>0</v>
      </c>
      <c r="W34" s="108">
        <f t="shared" si="45"/>
        <v>0</v>
      </c>
      <c r="X34" s="231">
        <f t="shared" si="45"/>
        <v>0</v>
      </c>
      <c r="Y34" s="53"/>
      <c r="Z34" s="53"/>
      <c r="AA34" s="53"/>
      <c r="AC34" s="94" t="s">
        <v>65</v>
      </c>
      <c r="AD34" s="95">
        <v>330000</v>
      </c>
      <c r="AE34" s="96" t="s">
        <v>65</v>
      </c>
      <c r="AF34" s="95">
        <v>380000</v>
      </c>
      <c r="AH34" s="10"/>
      <c r="AI34" s="109"/>
      <c r="AJ34" s="6"/>
    </row>
    <row r="35" spans="1:36" ht="15" customHeight="1" thickBot="1">
      <c r="A35" s="110" t="s">
        <v>69</v>
      </c>
      <c r="B35" s="86">
        <f>IF(B33="所得割非課税",0,IF(B33="調整なし",0,(B12-(B11-B32)*B31/B32)))</f>
        <v>0</v>
      </c>
      <c r="C35" s="86">
        <f t="shared" ref="C35:X35" si="48">IF(C33="所得割非課税",0,IF(C33="調整なし",0,(C12-(C11-C32)*C31/C32)))</f>
        <v>0</v>
      </c>
      <c r="D35" s="106">
        <f t="shared" si="48"/>
        <v>0</v>
      </c>
      <c r="E35" s="107">
        <f t="shared" si="48"/>
        <v>0</v>
      </c>
      <c r="F35" s="106">
        <f t="shared" ref="F35:S35" si="49">IF(F33="所得割非課税",0,IF(F33="調整なし",0,(F12-(F11-F32)*F31/F32)))</f>
        <v>0</v>
      </c>
      <c r="G35" s="106">
        <f t="shared" si="49"/>
        <v>0</v>
      </c>
      <c r="H35" s="106">
        <f t="shared" ref="H35:R35" si="50">IF(H33="所得割非課税",0,IF(H33="調整なし",0,(H12-(H11-H32)*H31/H32)))</f>
        <v>0</v>
      </c>
      <c r="I35" s="106">
        <f t="shared" si="50"/>
        <v>0</v>
      </c>
      <c r="J35" s="106">
        <f t="shared" si="50"/>
        <v>0</v>
      </c>
      <c r="K35" s="106">
        <f t="shared" si="50"/>
        <v>0</v>
      </c>
      <c r="L35" s="106">
        <f t="shared" si="50"/>
        <v>0</v>
      </c>
      <c r="M35" s="106">
        <f t="shared" si="50"/>
        <v>0</v>
      </c>
      <c r="N35" s="106">
        <f t="shared" si="50"/>
        <v>0</v>
      </c>
      <c r="O35" s="106">
        <f t="shared" si="50"/>
        <v>0</v>
      </c>
      <c r="P35" s="106">
        <f t="shared" si="50"/>
        <v>0</v>
      </c>
      <c r="Q35" s="106">
        <f t="shared" si="50"/>
        <v>0</v>
      </c>
      <c r="R35" s="106">
        <f t="shared" si="50"/>
        <v>0</v>
      </c>
      <c r="S35" s="106">
        <f t="shared" si="49"/>
        <v>0</v>
      </c>
      <c r="T35" s="106"/>
      <c r="U35" s="106">
        <f t="shared" si="48"/>
        <v>0</v>
      </c>
      <c r="V35" s="106">
        <f t="shared" si="48"/>
        <v>0</v>
      </c>
      <c r="W35" s="108">
        <f>IF(W33="所得割非課税",0,IF(W33="調整なし",0,(W12-(W11-W32)*W31/W32)))</f>
        <v>0</v>
      </c>
      <c r="X35" s="231">
        <f t="shared" si="48"/>
        <v>0</v>
      </c>
      <c r="Y35" s="53"/>
      <c r="Z35" s="53"/>
      <c r="AA35" s="53"/>
      <c r="AC35" s="94" t="s">
        <v>35</v>
      </c>
      <c r="AD35" s="95">
        <v>450000</v>
      </c>
      <c r="AE35" s="96" t="s">
        <v>36</v>
      </c>
      <c r="AF35" s="95">
        <v>630000</v>
      </c>
      <c r="AH35" s="83"/>
      <c r="AI35" s="83"/>
      <c r="AJ35" s="6"/>
    </row>
    <row r="36" spans="1:36" ht="15" customHeight="1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3">
        <f t="shared" si="51"/>
        <v>0</v>
      </c>
      <c r="E36" s="84">
        <f t="shared" si="51"/>
        <v>419100</v>
      </c>
      <c r="F36" s="83">
        <f t="shared" ref="F36:S36" si="52">IF(F30-F34&gt;0,F30-F34,0)</f>
        <v>474300</v>
      </c>
      <c r="G36" s="83">
        <f t="shared" si="52"/>
        <v>532500</v>
      </c>
      <c r="H36" s="83">
        <f t="shared" ref="H36:R36" si="53">IF(H30-H34&gt;0,H30-H34,0)</f>
        <v>590700</v>
      </c>
      <c r="I36" s="83">
        <f t="shared" si="53"/>
        <v>648900</v>
      </c>
      <c r="J36" s="83">
        <f t="shared" si="53"/>
        <v>707100</v>
      </c>
      <c r="K36" s="83">
        <f t="shared" si="53"/>
        <v>765300</v>
      </c>
      <c r="L36" s="83">
        <f t="shared" si="53"/>
        <v>823500</v>
      </c>
      <c r="M36" s="83">
        <f t="shared" si="53"/>
        <v>883500</v>
      </c>
      <c r="N36" s="83">
        <f t="shared" si="53"/>
        <v>943500</v>
      </c>
      <c r="O36" s="83">
        <f t="shared" si="53"/>
        <v>1003500</v>
      </c>
      <c r="P36" s="83">
        <f t="shared" si="53"/>
        <v>1063500</v>
      </c>
      <c r="Q36" s="83">
        <f t="shared" si="53"/>
        <v>1123500</v>
      </c>
      <c r="R36" s="83">
        <f t="shared" si="53"/>
        <v>1183500</v>
      </c>
      <c r="S36" s="83">
        <f t="shared" si="52"/>
        <v>1243500</v>
      </c>
      <c r="T36" s="83"/>
      <c r="U36" s="83">
        <f t="shared" si="51"/>
        <v>0</v>
      </c>
      <c r="V36" s="83">
        <f t="shared" si="51"/>
        <v>0</v>
      </c>
      <c r="W36" s="85">
        <f t="shared" si="51"/>
        <v>0</v>
      </c>
      <c r="X36" s="227">
        <f t="shared" si="51"/>
        <v>16879500</v>
      </c>
      <c r="Y36" s="53"/>
      <c r="Z36" s="53"/>
      <c r="AA36" s="312" t="s">
        <v>53</v>
      </c>
      <c r="AB36" s="313"/>
      <c r="AC36" s="314" t="s">
        <v>67</v>
      </c>
      <c r="AD36" s="315"/>
      <c r="AE36" s="111"/>
      <c r="AF36" s="112"/>
      <c r="AH36" s="83"/>
      <c r="AI36" s="113"/>
      <c r="AJ36" s="6"/>
    </row>
    <row r="37" spans="1:36" ht="15" customHeight="1">
      <c r="A37" s="49" t="s">
        <v>72</v>
      </c>
      <c r="B37" s="114">
        <f>IF(B31-B35&gt;0,B31-B35,0)</f>
        <v>147800</v>
      </c>
      <c r="C37" s="50">
        <f t="shared" si="51"/>
        <v>147800</v>
      </c>
      <c r="D37" s="83">
        <f t="shared" si="51"/>
        <v>0</v>
      </c>
      <c r="E37" s="84">
        <f t="shared" si="51"/>
        <v>279400</v>
      </c>
      <c r="F37" s="83">
        <f t="shared" ref="F37:S37" si="54">IF(F31-F35&gt;0,F31-F35,0)</f>
        <v>316200</v>
      </c>
      <c r="G37" s="83">
        <f t="shared" si="54"/>
        <v>355000</v>
      </c>
      <c r="H37" s="83">
        <f t="shared" ref="H37:R37" si="55">IF(H31-H35&gt;0,H31-H35,0)</f>
        <v>393800</v>
      </c>
      <c r="I37" s="83">
        <f t="shared" si="55"/>
        <v>432600</v>
      </c>
      <c r="J37" s="83">
        <f t="shared" si="55"/>
        <v>471400</v>
      </c>
      <c r="K37" s="83">
        <f t="shared" si="55"/>
        <v>510200</v>
      </c>
      <c r="L37" s="83">
        <f t="shared" si="55"/>
        <v>549000</v>
      </c>
      <c r="M37" s="83">
        <f t="shared" si="55"/>
        <v>589000</v>
      </c>
      <c r="N37" s="83">
        <f t="shared" si="55"/>
        <v>629000</v>
      </c>
      <c r="O37" s="83">
        <f t="shared" si="55"/>
        <v>669000</v>
      </c>
      <c r="P37" s="83">
        <f t="shared" si="55"/>
        <v>709000</v>
      </c>
      <c r="Q37" s="83">
        <f t="shared" si="55"/>
        <v>749000</v>
      </c>
      <c r="R37" s="83">
        <f t="shared" si="55"/>
        <v>789000</v>
      </c>
      <c r="S37" s="83">
        <f t="shared" si="54"/>
        <v>829000</v>
      </c>
      <c r="T37" s="83"/>
      <c r="U37" s="83">
        <f t="shared" si="51"/>
        <v>0</v>
      </c>
      <c r="V37" s="83">
        <f t="shared" si="51"/>
        <v>0</v>
      </c>
      <c r="W37" s="85">
        <f t="shared" si="51"/>
        <v>0</v>
      </c>
      <c r="X37" s="227">
        <f t="shared" si="51"/>
        <v>11253000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3"/>
      <c r="AI37" s="113"/>
      <c r="AJ37" s="6"/>
    </row>
    <row r="38" spans="1:36" ht="15" customHeight="1" thickBot="1">
      <c r="A38" s="115" t="s">
        <v>73</v>
      </c>
      <c r="B38" s="116">
        <f>SUM(B36:B37)</f>
        <v>369500</v>
      </c>
      <c r="C38" s="117">
        <f>SUM(C36:C37)</f>
        <v>369500</v>
      </c>
      <c r="D38" s="118">
        <f t="shared" ref="D38:X38" si="56">SUM(D36:D37)</f>
        <v>0</v>
      </c>
      <c r="E38" s="119">
        <f t="shared" si="56"/>
        <v>698500</v>
      </c>
      <c r="F38" s="118">
        <f t="shared" ref="F38:S38" si="57">SUM(F36:F37)</f>
        <v>790500</v>
      </c>
      <c r="G38" s="118">
        <f t="shared" si="57"/>
        <v>887500</v>
      </c>
      <c r="H38" s="118">
        <f t="shared" ref="H38:R38" si="58">SUM(H36:H37)</f>
        <v>984500</v>
      </c>
      <c r="I38" s="118">
        <f t="shared" si="58"/>
        <v>1081500</v>
      </c>
      <c r="J38" s="118">
        <f t="shared" si="58"/>
        <v>1178500</v>
      </c>
      <c r="K38" s="118">
        <f t="shared" si="58"/>
        <v>1275500</v>
      </c>
      <c r="L38" s="118">
        <f t="shared" si="58"/>
        <v>1372500</v>
      </c>
      <c r="M38" s="118">
        <f t="shared" si="58"/>
        <v>1472500</v>
      </c>
      <c r="N38" s="118">
        <f t="shared" si="58"/>
        <v>1572500</v>
      </c>
      <c r="O38" s="118">
        <f t="shared" si="58"/>
        <v>1672500</v>
      </c>
      <c r="P38" s="118">
        <f t="shared" si="58"/>
        <v>1772500</v>
      </c>
      <c r="Q38" s="118">
        <f t="shared" si="58"/>
        <v>1872500</v>
      </c>
      <c r="R38" s="118">
        <f t="shared" si="58"/>
        <v>1972500</v>
      </c>
      <c r="S38" s="118">
        <f t="shared" si="57"/>
        <v>2072500</v>
      </c>
      <c r="T38" s="118"/>
      <c r="U38" s="118">
        <f t="shared" si="56"/>
        <v>0</v>
      </c>
      <c r="V38" s="118">
        <f t="shared" si="56"/>
        <v>0</v>
      </c>
      <c r="W38" s="120">
        <f t="shared" si="56"/>
        <v>0</v>
      </c>
      <c r="X38" s="232">
        <f t="shared" si="56"/>
        <v>28132500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3">
        <v>0</v>
      </c>
      <c r="AH38" s="83"/>
      <c r="AI38" s="113"/>
      <c r="AJ38" s="6"/>
    </row>
    <row r="39" spans="1:36" ht="15" customHeight="1" thickBot="1">
      <c r="A39" s="121" t="s">
        <v>93</v>
      </c>
      <c r="B39" s="122"/>
      <c r="C39" s="122"/>
      <c r="D39" s="122"/>
      <c r="E39" s="172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262">
        <f>入力欄!D21</f>
        <v>0</v>
      </c>
      <c r="X39" s="233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3">
        <v>5.1049999999999998E-2</v>
      </c>
      <c r="AH39" s="83"/>
      <c r="AI39" s="113"/>
      <c r="AJ39" s="6"/>
    </row>
    <row r="40" spans="1:36" ht="15" customHeight="1" thickTop="1" thickBot="1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3">
        <f t="shared" si="61"/>
        <v>0</v>
      </c>
      <c r="X40" s="234">
        <f>X67</f>
        <v>0</v>
      </c>
      <c r="Y40" s="207">
        <v>0.2</v>
      </c>
      <c r="Z40" s="53"/>
      <c r="AA40" s="29"/>
      <c r="AB40" s="34"/>
      <c r="AC40" s="29"/>
      <c r="AD40" s="34"/>
      <c r="AE40" s="29">
        <v>1950001</v>
      </c>
      <c r="AF40" s="293">
        <v>0.1021</v>
      </c>
      <c r="AH40" s="83"/>
      <c r="AI40" s="113"/>
      <c r="AJ40" s="6"/>
    </row>
    <row r="41" spans="1:36" ht="15" customHeight="1" thickTop="1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3">
        <f t="shared" si="62"/>
        <v>0</v>
      </c>
      <c r="X41" s="235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3">
        <v>0.20419999999999999</v>
      </c>
      <c r="AH41" s="83"/>
      <c r="AI41" s="113"/>
      <c r="AJ41" s="6"/>
    </row>
    <row r="42" spans="1:36" ht="15" customHeight="1">
      <c r="A42" s="270" t="s">
        <v>95</v>
      </c>
      <c r="B42" s="10"/>
      <c r="C42" s="10"/>
      <c r="D42" s="10"/>
      <c r="E42" s="219">
        <f t="shared" ref="E42:S42" si="66">IF(E41=0,0,IF((E39-2000)*(0.9-VLOOKUP(E69,$AE$38:$AF$45,2))&gt;E38*$Y$40,E38*$Y$40,(E39-2000)*(0.9-VLOOKUP(E69,$AE$38:$AF$45,2))))</f>
        <v>0</v>
      </c>
      <c r="F42" s="260">
        <f t="shared" si="66"/>
        <v>0</v>
      </c>
      <c r="G42" s="260">
        <f t="shared" si="66"/>
        <v>0</v>
      </c>
      <c r="H42" s="260">
        <f t="shared" si="66"/>
        <v>0</v>
      </c>
      <c r="I42" s="260">
        <f t="shared" si="66"/>
        <v>0</v>
      </c>
      <c r="J42" s="260">
        <f t="shared" si="66"/>
        <v>0</v>
      </c>
      <c r="K42" s="260">
        <f t="shared" si="66"/>
        <v>0</v>
      </c>
      <c r="L42" s="260">
        <f t="shared" si="66"/>
        <v>0</v>
      </c>
      <c r="M42" s="260">
        <f t="shared" si="66"/>
        <v>0</v>
      </c>
      <c r="N42" s="260">
        <f t="shared" si="66"/>
        <v>0</v>
      </c>
      <c r="O42" s="260">
        <f t="shared" si="66"/>
        <v>0</v>
      </c>
      <c r="P42" s="260">
        <f t="shared" si="66"/>
        <v>0</v>
      </c>
      <c r="Q42" s="260">
        <f t="shared" si="66"/>
        <v>0</v>
      </c>
      <c r="R42" s="260">
        <f t="shared" si="66"/>
        <v>0</v>
      </c>
      <c r="S42" s="260">
        <f t="shared" si="66"/>
        <v>0</v>
      </c>
      <c r="T42" s="260"/>
      <c r="U42" s="260">
        <f>IF(U41=0,0,IF((U39-2000)*(0.9-VLOOKUP(U69,$AE$38:$AF$45,2))&gt;U38*$Y$40,U38*$Y$40,(U39-2000)*(0.9-VLOOKUP(U69,$AE$38:$AF$45,2))))</f>
        <v>0</v>
      </c>
      <c r="V42" s="260">
        <f>IF(V41=0,0,IF((V39-2000)*(0.9-VLOOKUP(V69,$AE$38:$AF$45,2))&gt;V38*$Y$40,V38*$Y$40,(V39-2000)*(0.9-VLOOKUP(V69,$AE$38:$AF$45,2))))</f>
        <v>0</v>
      </c>
      <c r="W42" s="265">
        <f>IF(W41=0,0,IF((W39-2000)*(0.9-VLOOKUP(W69,$AE$38:$AF$45,2))&gt;W38*$Y$40,W38*$Y$40,(W39-2000)*(0.9-VLOOKUP(W69,$AE$38:$AF$45,2))))</f>
        <v>0</v>
      </c>
      <c r="X42" s="235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3">
        <v>0.23483000000000001</v>
      </c>
      <c r="AH42" s="83"/>
      <c r="AI42" s="113"/>
      <c r="AJ42" s="6"/>
    </row>
    <row r="43" spans="1:36" ht="15" customHeight="1">
      <c r="A43" s="271" t="s">
        <v>98</v>
      </c>
      <c r="B43" s="123"/>
      <c r="C43" s="123"/>
      <c r="D43" s="123"/>
      <c r="E43" s="124">
        <f>SUM(E41:E42)</f>
        <v>0</v>
      </c>
      <c r="F43" s="123">
        <f t="shared" ref="F43:S43" si="68">SUM(F41:F42)</f>
        <v>0</v>
      </c>
      <c r="G43" s="123">
        <f t="shared" si="68"/>
        <v>0</v>
      </c>
      <c r="H43" s="123">
        <f t="shared" ref="H43:R43" si="69">SUM(H41:H42)</f>
        <v>0</v>
      </c>
      <c r="I43" s="123">
        <f t="shared" si="69"/>
        <v>0</v>
      </c>
      <c r="J43" s="123">
        <f t="shared" si="69"/>
        <v>0</v>
      </c>
      <c r="K43" s="123">
        <f t="shared" si="69"/>
        <v>0</v>
      </c>
      <c r="L43" s="123">
        <f t="shared" si="69"/>
        <v>0</v>
      </c>
      <c r="M43" s="123">
        <f t="shared" si="69"/>
        <v>0</v>
      </c>
      <c r="N43" s="123">
        <f t="shared" si="69"/>
        <v>0</v>
      </c>
      <c r="O43" s="123">
        <f t="shared" si="69"/>
        <v>0</v>
      </c>
      <c r="P43" s="123">
        <f t="shared" si="69"/>
        <v>0</v>
      </c>
      <c r="Q43" s="123">
        <f t="shared" si="69"/>
        <v>0</v>
      </c>
      <c r="R43" s="123">
        <f t="shared" si="69"/>
        <v>0</v>
      </c>
      <c r="S43" s="123">
        <f t="shared" si="68"/>
        <v>0</v>
      </c>
      <c r="T43" s="123"/>
      <c r="U43" s="123">
        <f t="shared" ref="U43:W43" si="70">SUM(U41:U42)</f>
        <v>0</v>
      </c>
      <c r="V43" s="123">
        <f t="shared" si="70"/>
        <v>0</v>
      </c>
      <c r="W43" s="266">
        <f t="shared" si="70"/>
        <v>0</v>
      </c>
      <c r="X43" s="264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3">
        <v>0.33693000000000001</v>
      </c>
      <c r="AH43" s="83"/>
      <c r="AI43" s="113"/>
      <c r="AJ43" s="6"/>
    </row>
    <row r="44" spans="1:36" ht="15" customHeight="1">
      <c r="A44" s="271" t="s">
        <v>96</v>
      </c>
      <c r="B44" s="123"/>
      <c r="C44" s="123"/>
      <c r="D44" s="123"/>
      <c r="E44" s="124">
        <f>SUM(E40:E42)</f>
        <v>0</v>
      </c>
      <c r="F44" s="123">
        <f t="shared" ref="F44:S44" si="72">SUM(F40:F42)</f>
        <v>0</v>
      </c>
      <c r="G44" s="123">
        <f t="shared" si="72"/>
        <v>0</v>
      </c>
      <c r="H44" s="123">
        <f t="shared" ref="H44:R44" si="73">SUM(H40:H42)</f>
        <v>0</v>
      </c>
      <c r="I44" s="123">
        <f t="shared" si="73"/>
        <v>0</v>
      </c>
      <c r="J44" s="123">
        <f t="shared" si="73"/>
        <v>0</v>
      </c>
      <c r="K44" s="123">
        <f t="shared" si="73"/>
        <v>0</v>
      </c>
      <c r="L44" s="123">
        <f t="shared" si="73"/>
        <v>0</v>
      </c>
      <c r="M44" s="123">
        <f t="shared" si="73"/>
        <v>0</v>
      </c>
      <c r="N44" s="123">
        <f t="shared" si="73"/>
        <v>0</v>
      </c>
      <c r="O44" s="123">
        <f t="shared" si="73"/>
        <v>0</v>
      </c>
      <c r="P44" s="123">
        <f t="shared" si="73"/>
        <v>0</v>
      </c>
      <c r="Q44" s="123">
        <f t="shared" si="73"/>
        <v>0</v>
      </c>
      <c r="R44" s="123">
        <f t="shared" si="73"/>
        <v>0</v>
      </c>
      <c r="S44" s="123">
        <f t="shared" si="72"/>
        <v>0</v>
      </c>
      <c r="T44" s="123"/>
      <c r="U44" s="123">
        <f t="shared" ref="U44:W44" si="74">SUM(U40:U42)</f>
        <v>0</v>
      </c>
      <c r="V44" s="123">
        <f t="shared" si="74"/>
        <v>0</v>
      </c>
      <c r="W44" s="266">
        <f t="shared" si="74"/>
        <v>0</v>
      </c>
      <c r="X44" s="264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3">
        <v>0.40839999999999999</v>
      </c>
      <c r="AH44" s="6"/>
      <c r="AI44" s="6"/>
      <c r="AJ44" s="6"/>
    </row>
    <row r="45" spans="1:36" ht="15" customHeight="1" thickBot="1">
      <c r="A45" s="272" t="s">
        <v>124</v>
      </c>
      <c r="B45" s="50">
        <f t="shared" ref="B45:X45" si="75">ROUNDUP(B32*0.1,-2)</f>
        <v>37000</v>
      </c>
      <c r="C45" s="50">
        <f t="shared" si="75"/>
        <v>37000</v>
      </c>
      <c r="D45" s="125">
        <f t="shared" si="75"/>
        <v>0</v>
      </c>
      <c r="E45" s="126">
        <f t="shared" ref="E45:S45" si="76">ROUND(E32*$Y$40,0)</f>
        <v>139700</v>
      </c>
      <c r="F45" s="125">
        <f t="shared" si="76"/>
        <v>158100</v>
      </c>
      <c r="G45" s="125">
        <f t="shared" si="76"/>
        <v>177500</v>
      </c>
      <c r="H45" s="125">
        <f t="shared" si="76"/>
        <v>196900</v>
      </c>
      <c r="I45" s="125">
        <f t="shared" si="76"/>
        <v>216300</v>
      </c>
      <c r="J45" s="125">
        <f t="shared" si="76"/>
        <v>235700</v>
      </c>
      <c r="K45" s="125">
        <f t="shared" si="76"/>
        <v>255100</v>
      </c>
      <c r="L45" s="125">
        <f t="shared" si="76"/>
        <v>274500</v>
      </c>
      <c r="M45" s="125">
        <f t="shared" si="76"/>
        <v>294500</v>
      </c>
      <c r="N45" s="125">
        <f t="shared" si="76"/>
        <v>314500</v>
      </c>
      <c r="O45" s="125">
        <f t="shared" si="76"/>
        <v>334500</v>
      </c>
      <c r="P45" s="125">
        <f t="shared" si="76"/>
        <v>354500</v>
      </c>
      <c r="Q45" s="125">
        <f t="shared" si="76"/>
        <v>374500</v>
      </c>
      <c r="R45" s="125">
        <f t="shared" si="76"/>
        <v>394500</v>
      </c>
      <c r="S45" s="125">
        <f t="shared" si="76"/>
        <v>414500</v>
      </c>
      <c r="T45" s="125"/>
      <c r="U45" s="125">
        <f>ROUND(U32*$Y$40,0)</f>
        <v>0</v>
      </c>
      <c r="V45" s="125">
        <f>ROUND(V32*$Y$40,0)</f>
        <v>0</v>
      </c>
      <c r="W45" s="127">
        <f>ROUND(W32*$Y$40,0)</f>
        <v>0</v>
      </c>
      <c r="X45" s="236">
        <f t="shared" si="75"/>
        <v>2813300</v>
      </c>
      <c r="Y45" s="53"/>
      <c r="Z45" s="215"/>
      <c r="AA45" s="214"/>
      <c r="AB45" s="74"/>
      <c r="AC45" s="29"/>
      <c r="AD45" s="71"/>
      <c r="AE45" s="216">
        <v>40000001</v>
      </c>
      <c r="AF45" s="294">
        <v>0.45945000000000003</v>
      </c>
      <c r="AH45" s="6"/>
      <c r="AI45" s="6"/>
      <c r="AJ45" s="6"/>
    </row>
    <row r="46" spans="1:36" ht="15" customHeight="1">
      <c r="A46" s="272" t="s">
        <v>80</v>
      </c>
      <c r="B46" s="128">
        <f>0.9-VLOOKUP(B69,$AE$38:$AF$44,2)</f>
        <v>0.69579999999999997</v>
      </c>
      <c r="C46" s="128">
        <f>0.9-VLOOKUP(C69,$AE$38:$AF$44,2)</f>
        <v>0.69579999999999997</v>
      </c>
      <c r="D46" s="129">
        <f>0.9-VLOOKUP(D69,$AE$38:$AF$44,2)</f>
        <v>0.9</v>
      </c>
      <c r="E46" s="217">
        <f t="shared" ref="E46:S46" si="77">0.9-VLOOKUP(E69,$AE$38:$AF$45,2)</f>
        <v>0.66517000000000004</v>
      </c>
      <c r="F46" s="261">
        <f t="shared" si="77"/>
        <v>0.66517000000000004</v>
      </c>
      <c r="G46" s="261">
        <f t="shared" si="77"/>
        <v>0.66517000000000004</v>
      </c>
      <c r="H46" s="261">
        <f t="shared" si="77"/>
        <v>0.56306999999999996</v>
      </c>
      <c r="I46" s="261">
        <f t="shared" si="77"/>
        <v>0.56306999999999996</v>
      </c>
      <c r="J46" s="261">
        <f t="shared" si="77"/>
        <v>0.56306999999999996</v>
      </c>
      <c r="K46" s="261">
        <f t="shared" si="77"/>
        <v>0.56306999999999996</v>
      </c>
      <c r="L46" s="261">
        <f t="shared" si="77"/>
        <v>0.56306999999999996</v>
      </c>
      <c r="M46" s="261">
        <f t="shared" si="77"/>
        <v>0.56306999999999996</v>
      </c>
      <c r="N46" s="261">
        <f t="shared" si="77"/>
        <v>0.56306999999999996</v>
      </c>
      <c r="O46" s="261">
        <f t="shared" si="77"/>
        <v>0.56306999999999996</v>
      </c>
      <c r="P46" s="261">
        <f t="shared" si="77"/>
        <v>0.56306999999999996</v>
      </c>
      <c r="Q46" s="261">
        <f t="shared" si="77"/>
        <v>0.49160000000000004</v>
      </c>
      <c r="R46" s="261">
        <f t="shared" si="77"/>
        <v>0.49160000000000004</v>
      </c>
      <c r="S46" s="261">
        <f t="shared" si="77"/>
        <v>0.49160000000000004</v>
      </c>
      <c r="T46" s="261"/>
      <c r="U46" s="261">
        <f>0.9-VLOOKUP(U69,$AE$38:$AF$45,2)</f>
        <v>0.9</v>
      </c>
      <c r="V46" s="261">
        <f>0.9-VLOOKUP(V69,$AE$38:$AF$45,2)</f>
        <v>0.9</v>
      </c>
      <c r="W46" s="267">
        <f>0.9-VLOOKUP(W69,$AE$38:$AF$45,2)</f>
        <v>0.9</v>
      </c>
      <c r="X46" s="237">
        <f>0.9-VLOOKUP(X69,$AE$38:$AF$44,2)</f>
        <v>0.49160000000000004</v>
      </c>
      <c r="Y46" s="53"/>
      <c r="Z46" s="53"/>
      <c r="AA46" s="53"/>
      <c r="AC46" s="213"/>
      <c r="AD46" s="212"/>
      <c r="AE46" s="213"/>
      <c r="AF46" s="212"/>
      <c r="AH46" s="6"/>
      <c r="AI46" s="6"/>
      <c r="AJ46" s="6"/>
    </row>
    <row r="47" spans="1:36" ht="15" customHeight="1" thickBot="1">
      <c r="A47" s="272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5">
        <f t="shared" si="78"/>
        <v>2000</v>
      </c>
      <c r="E47" s="126">
        <f>E45/E46+2000</f>
        <v>212021.49826360177</v>
      </c>
      <c r="F47" s="125">
        <f t="shared" ref="F47:S47" si="79">F45/F46+2000</f>
        <v>239683.59968128448</v>
      </c>
      <c r="G47" s="125">
        <f t="shared" si="79"/>
        <v>268849.07617601514</v>
      </c>
      <c r="H47" s="125">
        <f t="shared" ref="H47:R47" si="80">H45/H46+2000</f>
        <v>351690.09181806882</v>
      </c>
      <c r="I47" s="125">
        <f t="shared" si="80"/>
        <v>386144.06734509033</v>
      </c>
      <c r="J47" s="125">
        <f t="shared" si="80"/>
        <v>420598.04287211184</v>
      </c>
      <c r="K47" s="125">
        <f t="shared" si="80"/>
        <v>455052.01839913335</v>
      </c>
      <c r="L47" s="125">
        <f t="shared" si="80"/>
        <v>489505.99392615486</v>
      </c>
      <c r="M47" s="125">
        <f t="shared" si="80"/>
        <v>525025.55632514611</v>
      </c>
      <c r="N47" s="125">
        <f t="shared" si="80"/>
        <v>560545.11872413731</v>
      </c>
      <c r="O47" s="125">
        <f t="shared" si="80"/>
        <v>596064.68112312863</v>
      </c>
      <c r="P47" s="125">
        <f t="shared" si="80"/>
        <v>631584.24352211982</v>
      </c>
      <c r="Q47" s="125">
        <f t="shared" si="80"/>
        <v>763798.20992676972</v>
      </c>
      <c r="R47" s="125">
        <f t="shared" si="80"/>
        <v>804481.69243287214</v>
      </c>
      <c r="S47" s="125">
        <f t="shared" si="79"/>
        <v>845165.17493897467</v>
      </c>
      <c r="T47" s="125"/>
      <c r="U47" s="125">
        <f t="shared" si="78"/>
        <v>2000</v>
      </c>
      <c r="V47" s="125">
        <f t="shared" si="78"/>
        <v>2000</v>
      </c>
      <c r="W47" s="268">
        <f t="shared" si="78"/>
        <v>2000</v>
      </c>
      <c r="X47" s="236">
        <f t="shared" si="78"/>
        <v>5724742.0667209113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>
      <c r="A48" s="273" t="s">
        <v>121</v>
      </c>
      <c r="B48" s="201">
        <f t="shared" ref="B48:U48" si="81">ROUNDDOWN(B36-B43*6/10,-2)</f>
        <v>221700</v>
      </c>
      <c r="C48" s="201">
        <f t="shared" si="81"/>
        <v>221700</v>
      </c>
      <c r="D48" s="201">
        <f t="shared" si="81"/>
        <v>0</v>
      </c>
      <c r="E48" s="201">
        <f t="shared" si="81"/>
        <v>419100</v>
      </c>
      <c r="F48" s="201">
        <f t="shared" ref="F48:S48" si="82">ROUNDDOWN(F36-F43*6/10,-2)</f>
        <v>474300</v>
      </c>
      <c r="G48" s="201">
        <f t="shared" si="82"/>
        <v>532500</v>
      </c>
      <c r="H48" s="201">
        <f t="shared" ref="H48:R48" si="83">ROUNDDOWN(H36-H43*6/10,-2)</f>
        <v>590700</v>
      </c>
      <c r="I48" s="201">
        <f t="shared" si="83"/>
        <v>648900</v>
      </c>
      <c r="J48" s="201">
        <f t="shared" si="83"/>
        <v>707100</v>
      </c>
      <c r="K48" s="201">
        <f t="shared" si="83"/>
        <v>765300</v>
      </c>
      <c r="L48" s="201">
        <f t="shared" si="83"/>
        <v>823500</v>
      </c>
      <c r="M48" s="201">
        <f t="shared" si="83"/>
        <v>883500</v>
      </c>
      <c r="N48" s="201">
        <f t="shared" si="83"/>
        <v>943500</v>
      </c>
      <c r="O48" s="201">
        <f t="shared" si="83"/>
        <v>1003500</v>
      </c>
      <c r="P48" s="201">
        <f t="shared" si="83"/>
        <v>1063500</v>
      </c>
      <c r="Q48" s="201">
        <f t="shared" si="83"/>
        <v>1123500</v>
      </c>
      <c r="R48" s="201">
        <f t="shared" si="83"/>
        <v>1183500</v>
      </c>
      <c r="S48" s="201">
        <f t="shared" si="82"/>
        <v>1243500</v>
      </c>
      <c r="T48" s="201"/>
      <c r="U48" s="201">
        <f t="shared" si="81"/>
        <v>0</v>
      </c>
      <c r="V48" s="201">
        <f>ROUNDDOWN(V36-V43*6/10,-2)</f>
        <v>0</v>
      </c>
      <c r="W48" s="288">
        <f t="shared" ref="W48:X48" si="84">ROUNDDOWN(W36-W43*6/10,-2)</f>
        <v>0</v>
      </c>
      <c r="X48" s="238">
        <f t="shared" si="84"/>
        <v>16879600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5">
        <v>0</v>
      </c>
      <c r="AH48" s="6"/>
      <c r="AI48" s="6"/>
      <c r="AJ48" s="6"/>
    </row>
    <row r="49" spans="1:36" ht="15" customHeight="1" thickBot="1">
      <c r="A49" s="274" t="s">
        <v>122</v>
      </c>
      <c r="B49" s="202">
        <f t="shared" ref="B49:U49" si="85">ROUNDDOWN(B37-B43*4/10,-2)</f>
        <v>147800</v>
      </c>
      <c r="C49" s="202">
        <f t="shared" si="85"/>
        <v>147800</v>
      </c>
      <c r="D49" s="202">
        <f t="shared" si="85"/>
        <v>0</v>
      </c>
      <c r="E49" s="202">
        <f t="shared" si="85"/>
        <v>279400</v>
      </c>
      <c r="F49" s="202">
        <f t="shared" ref="F49:S49" si="86">ROUNDDOWN(F37-F43*4/10,-2)</f>
        <v>316200</v>
      </c>
      <c r="G49" s="202">
        <f t="shared" si="86"/>
        <v>355000</v>
      </c>
      <c r="H49" s="202">
        <f t="shared" ref="H49:R49" si="87">ROUNDDOWN(H37-H43*4/10,-2)</f>
        <v>393800</v>
      </c>
      <c r="I49" s="202">
        <f t="shared" si="87"/>
        <v>432600</v>
      </c>
      <c r="J49" s="202">
        <f t="shared" si="87"/>
        <v>471400</v>
      </c>
      <c r="K49" s="202">
        <f t="shared" si="87"/>
        <v>510200</v>
      </c>
      <c r="L49" s="202">
        <f t="shared" si="87"/>
        <v>549000</v>
      </c>
      <c r="M49" s="202">
        <f t="shared" si="87"/>
        <v>589000</v>
      </c>
      <c r="N49" s="202">
        <f t="shared" si="87"/>
        <v>629000</v>
      </c>
      <c r="O49" s="202">
        <f t="shared" si="87"/>
        <v>669000</v>
      </c>
      <c r="P49" s="202">
        <f t="shared" si="87"/>
        <v>709000</v>
      </c>
      <c r="Q49" s="202">
        <f t="shared" si="87"/>
        <v>749000</v>
      </c>
      <c r="R49" s="202">
        <f t="shared" si="87"/>
        <v>789000</v>
      </c>
      <c r="S49" s="202">
        <f t="shared" si="86"/>
        <v>829000</v>
      </c>
      <c r="T49" s="202"/>
      <c r="U49" s="202">
        <f t="shared" si="85"/>
        <v>0</v>
      </c>
      <c r="V49" s="202">
        <f>ROUNDDOWN(V37-V43*4/10,-2)</f>
        <v>0</v>
      </c>
      <c r="W49" s="289">
        <f t="shared" ref="W49:X49" si="88">ROUNDDOWN(W37-W43*4/10,-2)</f>
        <v>0</v>
      </c>
      <c r="X49" s="239">
        <f t="shared" si="88"/>
        <v>11253000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5">
        <v>0</v>
      </c>
      <c r="AH49" s="6"/>
      <c r="AI49" s="6"/>
      <c r="AJ49" s="6"/>
    </row>
    <row r="50" spans="1:36" ht="15" customHeight="1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1">
        <v>3500</v>
      </c>
      <c r="L50" s="131">
        <v>3500</v>
      </c>
      <c r="M50" s="131">
        <v>3500</v>
      </c>
      <c r="N50" s="131">
        <v>3500</v>
      </c>
      <c r="O50" s="131">
        <v>3500</v>
      </c>
      <c r="P50" s="131">
        <v>3500</v>
      </c>
      <c r="Q50" s="131">
        <v>3500</v>
      </c>
      <c r="R50" s="131">
        <v>3500</v>
      </c>
      <c r="S50" s="131">
        <v>3500</v>
      </c>
      <c r="T50" s="131"/>
      <c r="U50" s="131">
        <v>3500</v>
      </c>
      <c r="V50" s="131">
        <v>3500</v>
      </c>
      <c r="W50" s="133">
        <v>3500</v>
      </c>
      <c r="X50" s="240">
        <v>3000</v>
      </c>
      <c r="Y50" s="53"/>
      <c r="Z50" s="53"/>
      <c r="AA50" s="53"/>
      <c r="AC50" s="29"/>
      <c r="AD50" s="71"/>
      <c r="AE50" s="29">
        <v>1950001</v>
      </c>
      <c r="AF50" s="295">
        <v>99547.5</v>
      </c>
      <c r="AH50" s="6"/>
      <c r="AI50" s="6"/>
      <c r="AJ50" s="6"/>
    </row>
    <row r="51" spans="1:36" ht="15" customHeight="1" thickBot="1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4">
        <v>1500</v>
      </c>
      <c r="L51" s="134">
        <v>1500</v>
      </c>
      <c r="M51" s="134">
        <v>1500</v>
      </c>
      <c r="N51" s="134">
        <v>1500</v>
      </c>
      <c r="O51" s="134">
        <v>1500</v>
      </c>
      <c r="P51" s="134">
        <v>1500</v>
      </c>
      <c r="Q51" s="134">
        <v>1500</v>
      </c>
      <c r="R51" s="134">
        <v>1500</v>
      </c>
      <c r="S51" s="134">
        <v>1500</v>
      </c>
      <c r="T51" s="134"/>
      <c r="U51" s="134">
        <v>1500</v>
      </c>
      <c r="V51" s="134">
        <v>1500</v>
      </c>
      <c r="W51" s="136">
        <v>1500</v>
      </c>
      <c r="X51" s="241">
        <v>1000</v>
      </c>
      <c r="Y51" s="53"/>
      <c r="Z51" s="53"/>
      <c r="AA51" s="53"/>
      <c r="AC51" s="29"/>
      <c r="AD51" s="71"/>
      <c r="AE51" s="29">
        <v>3300001</v>
      </c>
      <c r="AF51" s="295">
        <v>436477.5</v>
      </c>
      <c r="AH51" s="6"/>
      <c r="AI51" s="6"/>
      <c r="AJ51" s="6"/>
    </row>
    <row r="52" spans="1:36" ht="15" customHeight="1">
      <c r="A52" s="277" t="s">
        <v>74</v>
      </c>
      <c r="B52" s="203">
        <f>B48+B50</f>
        <v>224700</v>
      </c>
      <c r="C52" s="203">
        <f t="shared" ref="C52:X52" si="89">C48+C50</f>
        <v>224700</v>
      </c>
      <c r="D52" s="203">
        <f t="shared" si="89"/>
        <v>3000</v>
      </c>
      <c r="E52" s="203">
        <f t="shared" si="89"/>
        <v>422600</v>
      </c>
      <c r="F52" s="203">
        <f t="shared" ref="F52:S52" si="90">F48+F50</f>
        <v>477800</v>
      </c>
      <c r="G52" s="203">
        <f t="shared" si="90"/>
        <v>536000</v>
      </c>
      <c r="H52" s="203">
        <f t="shared" ref="H52:R52" si="91">H48+H50</f>
        <v>594200</v>
      </c>
      <c r="I52" s="203">
        <f t="shared" si="91"/>
        <v>652400</v>
      </c>
      <c r="J52" s="203">
        <f t="shared" si="91"/>
        <v>710600</v>
      </c>
      <c r="K52" s="203">
        <f t="shared" si="91"/>
        <v>768800</v>
      </c>
      <c r="L52" s="203">
        <f t="shared" si="91"/>
        <v>827000</v>
      </c>
      <c r="M52" s="203">
        <f t="shared" si="91"/>
        <v>887000</v>
      </c>
      <c r="N52" s="203">
        <f t="shared" si="91"/>
        <v>947000</v>
      </c>
      <c r="O52" s="203">
        <f t="shared" si="91"/>
        <v>1007000</v>
      </c>
      <c r="P52" s="203">
        <f t="shared" si="91"/>
        <v>1067000</v>
      </c>
      <c r="Q52" s="203">
        <f t="shared" si="91"/>
        <v>1127000</v>
      </c>
      <c r="R52" s="203">
        <f t="shared" si="91"/>
        <v>1187000</v>
      </c>
      <c r="S52" s="203">
        <f t="shared" si="90"/>
        <v>1247000</v>
      </c>
      <c r="T52" s="203"/>
      <c r="U52" s="203">
        <f t="shared" si="89"/>
        <v>3500</v>
      </c>
      <c r="V52" s="203">
        <f t="shared" si="89"/>
        <v>3500</v>
      </c>
      <c r="W52" s="290">
        <f t="shared" si="89"/>
        <v>3500</v>
      </c>
      <c r="X52" s="242">
        <f t="shared" si="89"/>
        <v>16882600</v>
      </c>
      <c r="Y52" s="53"/>
      <c r="Z52" s="53"/>
      <c r="AA52" s="53"/>
      <c r="AC52" s="29"/>
      <c r="AD52" s="71"/>
      <c r="AE52" s="29">
        <v>6950001</v>
      </c>
      <c r="AF52" s="295">
        <v>649356</v>
      </c>
      <c r="AH52" s="6"/>
      <c r="AI52" s="6"/>
      <c r="AJ52" s="6"/>
    </row>
    <row r="53" spans="1:36" ht="15" customHeight="1">
      <c r="A53" s="278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280900</v>
      </c>
      <c r="F53" s="53">
        <f t="shared" ref="F53:S53" si="93">F49+F51</f>
        <v>317700</v>
      </c>
      <c r="G53" s="53">
        <f t="shared" si="93"/>
        <v>356500</v>
      </c>
      <c r="H53" s="53">
        <f t="shared" ref="H53:R53" si="94">H49+H51</f>
        <v>395300</v>
      </c>
      <c r="I53" s="53">
        <f t="shared" si="94"/>
        <v>434100</v>
      </c>
      <c r="J53" s="53">
        <f t="shared" si="94"/>
        <v>472900</v>
      </c>
      <c r="K53" s="53">
        <f t="shared" si="94"/>
        <v>511700</v>
      </c>
      <c r="L53" s="53">
        <f t="shared" si="94"/>
        <v>550500</v>
      </c>
      <c r="M53" s="53">
        <f t="shared" si="94"/>
        <v>590500</v>
      </c>
      <c r="N53" s="53">
        <f t="shared" si="94"/>
        <v>630500</v>
      </c>
      <c r="O53" s="53">
        <f t="shared" si="94"/>
        <v>670500</v>
      </c>
      <c r="P53" s="53">
        <f t="shared" si="94"/>
        <v>710500</v>
      </c>
      <c r="Q53" s="53">
        <f t="shared" si="94"/>
        <v>750500</v>
      </c>
      <c r="R53" s="53">
        <f t="shared" si="94"/>
        <v>790500</v>
      </c>
      <c r="S53" s="53">
        <f t="shared" si="93"/>
        <v>830500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3">
        <f t="shared" si="92"/>
        <v>11254000</v>
      </c>
      <c r="Y53" s="53"/>
      <c r="Z53" s="53"/>
      <c r="AA53" s="53"/>
      <c r="AC53" s="29"/>
      <c r="AD53" s="71"/>
      <c r="AE53" s="29">
        <v>9000001</v>
      </c>
      <c r="AF53" s="295">
        <v>1568256</v>
      </c>
    </row>
    <row r="54" spans="1:36" ht="15" customHeight="1" thickBot="1">
      <c r="A54" s="279" t="s">
        <v>78</v>
      </c>
      <c r="B54" s="204">
        <f>SUM(B52:B53)</f>
        <v>373500</v>
      </c>
      <c r="C54" s="204">
        <f t="shared" ref="C54:X54" si="95">SUM(C52:C53)</f>
        <v>373500</v>
      </c>
      <c r="D54" s="204">
        <f t="shared" si="95"/>
        <v>4000</v>
      </c>
      <c r="E54" s="205">
        <f>SUM(E52:E53)</f>
        <v>703500</v>
      </c>
      <c r="F54" s="204">
        <f t="shared" ref="F54:S54" si="96">SUM(F52:F53)</f>
        <v>795500</v>
      </c>
      <c r="G54" s="204">
        <f t="shared" si="96"/>
        <v>892500</v>
      </c>
      <c r="H54" s="204">
        <f t="shared" ref="H54:R54" si="97">SUM(H52:H53)</f>
        <v>989500</v>
      </c>
      <c r="I54" s="204">
        <f t="shared" si="97"/>
        <v>1086500</v>
      </c>
      <c r="J54" s="204">
        <f t="shared" si="97"/>
        <v>1183500</v>
      </c>
      <c r="K54" s="204">
        <f t="shared" si="97"/>
        <v>1280500</v>
      </c>
      <c r="L54" s="204">
        <f t="shared" si="97"/>
        <v>1377500</v>
      </c>
      <c r="M54" s="204">
        <f t="shared" si="97"/>
        <v>1477500</v>
      </c>
      <c r="N54" s="204">
        <f t="shared" si="97"/>
        <v>1577500</v>
      </c>
      <c r="O54" s="204">
        <f t="shared" si="97"/>
        <v>1677500</v>
      </c>
      <c r="P54" s="204">
        <f t="shared" si="97"/>
        <v>1777500</v>
      </c>
      <c r="Q54" s="204">
        <f t="shared" si="97"/>
        <v>1877500</v>
      </c>
      <c r="R54" s="204">
        <f t="shared" si="97"/>
        <v>1977500</v>
      </c>
      <c r="S54" s="204">
        <f t="shared" si="96"/>
        <v>2077500</v>
      </c>
      <c r="T54" s="204"/>
      <c r="U54" s="204">
        <f t="shared" si="95"/>
        <v>5000</v>
      </c>
      <c r="V54" s="204">
        <f t="shared" si="95"/>
        <v>5000</v>
      </c>
      <c r="W54" s="206">
        <f t="shared" si="95"/>
        <v>5000</v>
      </c>
      <c r="X54" s="244">
        <f t="shared" si="95"/>
        <v>28136600</v>
      </c>
      <c r="Y54" s="53"/>
      <c r="Z54" s="53"/>
      <c r="AA54" s="91"/>
      <c r="AC54" s="29"/>
      <c r="AD54" s="71"/>
      <c r="AE54" s="29">
        <v>18000001</v>
      </c>
      <c r="AF54" s="295">
        <v>2854716</v>
      </c>
    </row>
    <row r="55" spans="1:36" ht="15" customHeight="1" thickBot="1">
      <c r="A55" s="280" t="s">
        <v>99</v>
      </c>
      <c r="B55" s="51"/>
      <c r="C55" s="51"/>
      <c r="D55" s="138"/>
      <c r="E55" s="173">
        <f t="shared" ref="E55:W55" si="98">E43/E38</f>
        <v>0</v>
      </c>
      <c r="F55" s="259">
        <f t="shared" ref="F55:S55" si="99">F43/F38</f>
        <v>0</v>
      </c>
      <c r="G55" s="259">
        <f t="shared" si="99"/>
        <v>0</v>
      </c>
      <c r="H55" s="259">
        <f t="shared" ref="H55:R55" si="100">H43/H38</f>
        <v>0</v>
      </c>
      <c r="I55" s="259">
        <f t="shared" si="100"/>
        <v>0</v>
      </c>
      <c r="J55" s="259">
        <f t="shared" si="100"/>
        <v>0</v>
      </c>
      <c r="K55" s="259">
        <f t="shared" si="100"/>
        <v>0</v>
      </c>
      <c r="L55" s="259">
        <f t="shared" si="100"/>
        <v>0</v>
      </c>
      <c r="M55" s="259">
        <f t="shared" si="100"/>
        <v>0</v>
      </c>
      <c r="N55" s="259">
        <f t="shared" si="100"/>
        <v>0</v>
      </c>
      <c r="O55" s="259">
        <f t="shared" si="100"/>
        <v>0</v>
      </c>
      <c r="P55" s="259">
        <f t="shared" si="100"/>
        <v>0</v>
      </c>
      <c r="Q55" s="259">
        <f t="shared" si="100"/>
        <v>0</v>
      </c>
      <c r="R55" s="259">
        <f t="shared" si="100"/>
        <v>0</v>
      </c>
      <c r="S55" s="259">
        <f t="shared" si="99"/>
        <v>0</v>
      </c>
      <c r="T55" s="259"/>
      <c r="U55" s="259" t="e">
        <f t="shared" si="98"/>
        <v>#DIV/0!</v>
      </c>
      <c r="V55" s="259" t="e">
        <f t="shared" si="98"/>
        <v>#DIV/0!</v>
      </c>
      <c r="W55" s="258" t="e">
        <f t="shared" si="98"/>
        <v>#DIV/0!</v>
      </c>
      <c r="X55" s="245"/>
      <c r="Y55" s="91"/>
      <c r="Z55" s="53"/>
      <c r="AA55" s="91"/>
      <c r="AC55" s="29"/>
      <c r="AD55" s="71"/>
      <c r="AE55" s="216">
        <v>40000001</v>
      </c>
      <c r="AF55" s="296">
        <v>4896716</v>
      </c>
    </row>
    <row r="56" spans="1:36" ht="15" customHeight="1" thickBot="1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9"/>
      <c r="X56" s="246"/>
      <c r="Y56" s="53"/>
      <c r="Z56" s="53"/>
      <c r="AA56" s="53"/>
      <c r="AC56" s="316" t="s">
        <v>32</v>
      </c>
      <c r="AD56" s="317"/>
      <c r="AE56" s="316" t="s">
        <v>33</v>
      </c>
      <c r="AF56" s="317"/>
    </row>
    <row r="57" spans="1:36" ht="15" customHeight="1">
      <c r="A57" s="281" t="s">
        <v>0</v>
      </c>
      <c r="B57" s="130">
        <f t="shared" ref="B57:X57" si="101">B9</f>
        <v>7000000</v>
      </c>
      <c r="C57" s="137">
        <f t="shared" si="101"/>
        <v>7000000</v>
      </c>
      <c r="D57" s="141">
        <f t="shared" si="101"/>
        <v>0</v>
      </c>
      <c r="E57" s="142">
        <f t="shared" si="101"/>
        <v>11000000</v>
      </c>
      <c r="F57" s="141">
        <f t="shared" ref="F57:S57" si="102">F9</f>
        <v>12000000</v>
      </c>
      <c r="G57" s="141">
        <f t="shared" si="102"/>
        <v>13000000</v>
      </c>
      <c r="H57" s="141">
        <f t="shared" ref="H57:R57" si="103">H9</f>
        <v>14000000</v>
      </c>
      <c r="I57" s="141">
        <f t="shared" si="103"/>
        <v>15000000</v>
      </c>
      <c r="J57" s="141">
        <f t="shared" si="103"/>
        <v>16000000</v>
      </c>
      <c r="K57" s="141">
        <f t="shared" si="103"/>
        <v>17000000</v>
      </c>
      <c r="L57" s="141">
        <f t="shared" si="103"/>
        <v>18000000</v>
      </c>
      <c r="M57" s="141">
        <f t="shared" si="103"/>
        <v>19000000</v>
      </c>
      <c r="N57" s="141">
        <f t="shared" si="103"/>
        <v>20000000</v>
      </c>
      <c r="O57" s="141">
        <f t="shared" si="103"/>
        <v>21000000</v>
      </c>
      <c r="P57" s="141">
        <f t="shared" si="103"/>
        <v>22000000</v>
      </c>
      <c r="Q57" s="141">
        <f t="shared" si="103"/>
        <v>23000000</v>
      </c>
      <c r="R57" s="141">
        <f t="shared" si="103"/>
        <v>24000000</v>
      </c>
      <c r="S57" s="141">
        <f t="shared" si="102"/>
        <v>25000000</v>
      </c>
      <c r="T57" s="141"/>
      <c r="U57" s="141">
        <f t="shared" si="101"/>
        <v>0</v>
      </c>
      <c r="V57" s="141">
        <f t="shared" si="101"/>
        <v>0</v>
      </c>
      <c r="W57" s="143">
        <f t="shared" si="101"/>
        <v>0</v>
      </c>
      <c r="X57" s="247">
        <f t="shared" si="101"/>
        <v>300000000</v>
      </c>
      <c r="Y57" s="53"/>
      <c r="Z57" s="91"/>
      <c r="AA57" s="53"/>
      <c r="AC57" s="144" t="s">
        <v>60</v>
      </c>
      <c r="AD57" s="145">
        <v>330000</v>
      </c>
      <c r="AE57" s="146" t="s">
        <v>60</v>
      </c>
      <c r="AF57" s="145">
        <v>380000</v>
      </c>
    </row>
    <row r="58" spans="1:36" ht="15" customHeight="1">
      <c r="A58" s="282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2250000</v>
      </c>
      <c r="F58" s="6">
        <f t="shared" si="104"/>
        <v>2300000</v>
      </c>
      <c r="G58" s="6">
        <f t="shared" si="104"/>
        <v>2300000</v>
      </c>
      <c r="H58" s="6">
        <f t="shared" si="104"/>
        <v>2300000</v>
      </c>
      <c r="I58" s="6">
        <f t="shared" si="104"/>
        <v>2300000</v>
      </c>
      <c r="J58" s="6">
        <f t="shared" si="104"/>
        <v>2300000</v>
      </c>
      <c r="K58" s="6">
        <f t="shared" si="104"/>
        <v>2300000</v>
      </c>
      <c r="L58" s="6">
        <f t="shared" si="104"/>
        <v>2300000</v>
      </c>
      <c r="M58" s="6">
        <f t="shared" si="104"/>
        <v>2300000</v>
      </c>
      <c r="N58" s="6">
        <f t="shared" si="104"/>
        <v>2300000</v>
      </c>
      <c r="O58" s="6">
        <f t="shared" si="104"/>
        <v>2300000</v>
      </c>
      <c r="P58" s="6">
        <f t="shared" si="104"/>
        <v>2300000</v>
      </c>
      <c r="Q58" s="6">
        <f t="shared" si="104"/>
        <v>2300000</v>
      </c>
      <c r="R58" s="6">
        <f t="shared" si="104"/>
        <v>2300000</v>
      </c>
      <c r="S58" s="6">
        <f t="shared" si="104"/>
        <v>2300000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3">
        <f>X57*VLOOKUP(X57,$AE$6:$AF$12,2)+VLOOKUP(X57,$AE$14:$AF$20,2)</f>
        <v>2300000</v>
      </c>
      <c r="Y58" s="53"/>
      <c r="Z58" s="53"/>
      <c r="AA58" s="53"/>
      <c r="AC58" s="144" t="s">
        <v>62</v>
      </c>
      <c r="AD58" s="145">
        <v>330000</v>
      </c>
      <c r="AE58" s="146" t="s">
        <v>62</v>
      </c>
      <c r="AF58" s="145">
        <v>380000</v>
      </c>
    </row>
    <row r="59" spans="1:36" ht="15" customHeight="1">
      <c r="A59" s="282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8750000</v>
      </c>
      <c r="F59" s="6">
        <f t="shared" ref="F59:S59" si="107">F57-F58</f>
        <v>9700000</v>
      </c>
      <c r="G59" s="6">
        <f t="shared" si="107"/>
        <v>10700000</v>
      </c>
      <c r="H59" s="6">
        <f t="shared" ref="H59:R59" si="108">H57-H58</f>
        <v>11700000</v>
      </c>
      <c r="I59" s="6">
        <f t="shared" si="108"/>
        <v>12700000</v>
      </c>
      <c r="J59" s="6">
        <f t="shared" si="108"/>
        <v>13700000</v>
      </c>
      <c r="K59" s="6">
        <f t="shared" si="108"/>
        <v>14700000</v>
      </c>
      <c r="L59" s="6">
        <f t="shared" si="108"/>
        <v>15700000</v>
      </c>
      <c r="M59" s="6">
        <f t="shared" si="108"/>
        <v>16700000</v>
      </c>
      <c r="N59" s="6">
        <f t="shared" si="108"/>
        <v>17700000</v>
      </c>
      <c r="O59" s="6">
        <f t="shared" si="108"/>
        <v>18700000</v>
      </c>
      <c r="P59" s="6">
        <f t="shared" si="108"/>
        <v>19700000</v>
      </c>
      <c r="Q59" s="6">
        <f t="shared" si="108"/>
        <v>20700000</v>
      </c>
      <c r="R59" s="6">
        <f t="shared" si="108"/>
        <v>21700000</v>
      </c>
      <c r="S59" s="6">
        <f t="shared" si="107"/>
        <v>22700000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3">
        <f t="shared" si="106"/>
        <v>297700000</v>
      </c>
      <c r="Z59" s="53"/>
      <c r="AC59" s="144" t="s">
        <v>34</v>
      </c>
      <c r="AD59" s="145">
        <v>0</v>
      </c>
      <c r="AE59" s="146" t="s">
        <v>34</v>
      </c>
      <c r="AF59" s="145">
        <v>0</v>
      </c>
    </row>
    <row r="60" spans="1:36" ht="15" customHeight="1">
      <c r="A60" s="282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3"/>
      <c r="Z60" s="53"/>
      <c r="AC60" s="144" t="s">
        <v>65</v>
      </c>
      <c r="AD60" s="145">
        <v>330000</v>
      </c>
      <c r="AE60" s="146" t="s">
        <v>65</v>
      </c>
      <c r="AF60" s="145">
        <v>380000</v>
      </c>
    </row>
    <row r="61" spans="1:36" ht="15" customHeight="1" thickBot="1">
      <c r="A61" s="282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3">
        <f>X57*VLOOKUP(X57,$AE$23:$AF$25,2)+VLOOKUP(X57,$AE$27:$AF$29,2)</f>
        <v>1620000</v>
      </c>
      <c r="AC61" s="147" t="s">
        <v>35</v>
      </c>
      <c r="AD61" s="148">
        <v>450000</v>
      </c>
      <c r="AE61" s="149" t="s">
        <v>36</v>
      </c>
      <c r="AF61" s="148">
        <v>630000</v>
      </c>
    </row>
    <row r="62" spans="1:36" ht="15" customHeight="1">
      <c r="A62" s="282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3">
        <f>IF($Y$2=1,$AF$32,0)</f>
        <v>0</v>
      </c>
    </row>
    <row r="63" spans="1:36" ht="15" customHeight="1">
      <c r="A63" s="282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3">
        <f>IF(X59&lt;10000000,IF($Y$2=1,$AF$33,0),0)</f>
        <v>0</v>
      </c>
    </row>
    <row r="64" spans="1:36" ht="15" customHeight="1">
      <c r="A64" s="282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3">
        <f>IF($Y$5&gt;0,$Y$5*$AF$34,0)+IF($Y$6&gt;0,$Y$6*$AF$35)+IF($Y$7&gt;0,$Y$7*$AF$34,0)</f>
        <v>0</v>
      </c>
    </row>
    <row r="65" spans="1:32" ht="15" customHeight="1">
      <c r="A65" s="282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3">
        <f>$AF$31</f>
        <v>380000</v>
      </c>
    </row>
    <row r="66" spans="1:32" ht="15" customHeight="1">
      <c r="A66" s="282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3">
        <f t="shared" si="114"/>
        <v>2000000</v>
      </c>
    </row>
    <row r="67" spans="1:32" ht="15" customHeight="1">
      <c r="A67" s="283" t="s">
        <v>123</v>
      </c>
      <c r="B67" s="139">
        <f>IF(B39&lt;=2000,0,IF(B39&gt;B59*40%,(B59*40%-2000)*VLOOKUP(B69,$AE$38:$AF$44,2),(B39-2000)*VLOOKUP(B69,$AE$38:$AF$44,2)))</f>
        <v>0</v>
      </c>
      <c r="C67" s="151">
        <f>IF(C39&lt;=2000,0,IF(C39&gt;C59*40%,(C59*40%-2000)*VLOOKUP(C69,$AE$38:$AF$44,2),(C39-2000)*VLOOKUP(C69,$AE$38:$AF$44,2)))</f>
        <v>0</v>
      </c>
      <c r="D67" s="151">
        <f>IF(D39&lt;=2000,0,IF(D39&gt;D59*40%,(D59*40%-2000)*VLOOKUP(D69,$AE$38:$AF$44,2),(D39-2000)*VLOOKUP(D69,$AE$38:$AF$44,2)))</f>
        <v>0</v>
      </c>
      <c r="E67" s="218">
        <f t="shared" ref="E67:S67" si="117">IF(E39&lt;=2000,0,IF(E39&gt;E59*40%,(E59*40%-2000)*VLOOKUP(E69,$AE$38:$AF$45,2),(E39-2000)*VLOOKUP(E69,$AE$38:$AF$45,2)))</f>
        <v>0</v>
      </c>
      <c r="F67" s="256">
        <f t="shared" si="117"/>
        <v>0</v>
      </c>
      <c r="G67" s="256">
        <f t="shared" si="117"/>
        <v>0</v>
      </c>
      <c r="H67" s="256">
        <f t="shared" si="117"/>
        <v>0</v>
      </c>
      <c r="I67" s="256">
        <f t="shared" si="117"/>
        <v>0</v>
      </c>
      <c r="J67" s="256">
        <f t="shared" si="117"/>
        <v>0</v>
      </c>
      <c r="K67" s="256">
        <f t="shared" si="117"/>
        <v>0</v>
      </c>
      <c r="L67" s="256">
        <f t="shared" si="117"/>
        <v>0</v>
      </c>
      <c r="M67" s="256">
        <f t="shared" si="117"/>
        <v>0</v>
      </c>
      <c r="N67" s="256">
        <f t="shared" si="117"/>
        <v>0</v>
      </c>
      <c r="O67" s="256">
        <f t="shared" si="117"/>
        <v>0</v>
      </c>
      <c r="P67" s="256">
        <f t="shared" si="117"/>
        <v>0</v>
      </c>
      <c r="Q67" s="256">
        <f t="shared" si="117"/>
        <v>0</v>
      </c>
      <c r="R67" s="256">
        <f t="shared" si="117"/>
        <v>0</v>
      </c>
      <c r="S67" s="256">
        <f t="shared" si="117"/>
        <v>0</v>
      </c>
      <c r="T67" s="256"/>
      <c r="U67" s="256">
        <f>IF(U39&lt;=2000,0,IF(U39&gt;U59*40%,(U59*40%-2000)*VLOOKUP(U69,$AE$38:$AF$45,2),(U39-2000)*VLOOKUP(U69,$AE$38:$AF$45,2)))</f>
        <v>0</v>
      </c>
      <c r="V67" s="256">
        <f>IF(V39&lt;=2000,0,IF(V39&gt;V59*40%,(V59*40%-2000)*VLOOKUP(V69,$AE$38:$AF$45,2),(V39-2000)*VLOOKUP(V69,$AE$38:$AF$45,2)))</f>
        <v>0</v>
      </c>
      <c r="W67" s="253">
        <f>IF(W39&lt;=2000,0,IF(W39&gt;W59*40%,(W59*40%-2000)*VLOOKUP(W69,$AE$38:$AF$45,2),(W39-2000)*VLOOKUP(W69,$AE$38:$AF$45,2)))</f>
        <v>0</v>
      </c>
      <c r="X67" s="248"/>
    </row>
    <row r="68" spans="1:32" s="209" customFormat="1" ht="15" customHeight="1">
      <c r="A68" s="284" t="s">
        <v>87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S68" si="118">IF(F39="",0,IF(F39&lt;=F59*0.4,IF(F39-2000&gt;0,F39-2000,0),F59*0.4-2000))</f>
        <v>0</v>
      </c>
      <c r="G68" s="257">
        <f t="shared" si="118"/>
        <v>0</v>
      </c>
      <c r="H68" s="257">
        <f t="shared" ref="H68:R68" si="119">IF(H39="",0,IF(H39&lt;=H59*0.4,IF(H39-2000&gt;0,H39-2000,0),H59*0.4-2000))</f>
        <v>0</v>
      </c>
      <c r="I68" s="257">
        <f t="shared" si="119"/>
        <v>0</v>
      </c>
      <c r="J68" s="257">
        <f t="shared" si="119"/>
        <v>0</v>
      </c>
      <c r="K68" s="257">
        <f t="shared" si="119"/>
        <v>0</v>
      </c>
      <c r="L68" s="257">
        <f t="shared" si="119"/>
        <v>0</v>
      </c>
      <c r="M68" s="257">
        <f t="shared" si="119"/>
        <v>0</v>
      </c>
      <c r="N68" s="257">
        <f t="shared" si="119"/>
        <v>0</v>
      </c>
      <c r="O68" s="257">
        <f t="shared" si="119"/>
        <v>0</v>
      </c>
      <c r="P68" s="257">
        <f t="shared" si="119"/>
        <v>0</v>
      </c>
      <c r="Q68" s="257">
        <f t="shared" si="119"/>
        <v>0</v>
      </c>
      <c r="R68" s="257">
        <f t="shared" si="119"/>
        <v>0</v>
      </c>
      <c r="S68" s="257">
        <f t="shared" si="118"/>
        <v>0</v>
      </c>
      <c r="T68" s="257"/>
      <c r="U68" s="257">
        <f t="shared" ref="U68:W68" si="120">IF(U39="",0,IF(U39&lt;=U59*0.4,IF(U39-2000&gt;0,U39-2000,0),U59*0.4-2000))</f>
        <v>0</v>
      </c>
      <c r="V68" s="257">
        <f t="shared" si="120"/>
        <v>0</v>
      </c>
      <c r="W68" s="254">
        <f t="shared" si="120"/>
        <v>-262000</v>
      </c>
      <c r="X68" s="286"/>
      <c r="Z68" s="1"/>
      <c r="AA68" s="1"/>
      <c r="AB68" s="1"/>
      <c r="AC68" s="1"/>
      <c r="AD68" s="1"/>
      <c r="AE68" s="1"/>
      <c r="AF68" s="1"/>
    </row>
    <row r="69" spans="1:32" ht="15" customHeight="1">
      <c r="A69" s="282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6960000</v>
      </c>
      <c r="F69" s="53">
        <f t="shared" ref="F69:S69" si="122">ROUNDDOWN(IF(F59-F66&lt;0,0,F59-F66),-3)</f>
        <v>7880000</v>
      </c>
      <c r="G69" s="53">
        <f t="shared" si="122"/>
        <v>8850000</v>
      </c>
      <c r="H69" s="53">
        <f t="shared" ref="H69:R69" si="123">ROUNDDOWN(IF(H59-H66&lt;0,0,H59-H66),-3)</f>
        <v>9820000</v>
      </c>
      <c r="I69" s="53">
        <f t="shared" si="123"/>
        <v>10790000</v>
      </c>
      <c r="J69" s="53">
        <f t="shared" si="123"/>
        <v>11760000</v>
      </c>
      <c r="K69" s="53">
        <f t="shared" si="123"/>
        <v>12730000</v>
      </c>
      <c r="L69" s="53">
        <f t="shared" si="123"/>
        <v>13700000</v>
      </c>
      <c r="M69" s="53">
        <f t="shared" si="123"/>
        <v>14700000</v>
      </c>
      <c r="N69" s="53">
        <f t="shared" si="123"/>
        <v>15700000</v>
      </c>
      <c r="O69" s="53">
        <f t="shared" si="123"/>
        <v>16700000</v>
      </c>
      <c r="P69" s="53">
        <f t="shared" si="123"/>
        <v>17700000</v>
      </c>
      <c r="Q69" s="53">
        <f t="shared" si="123"/>
        <v>18700000</v>
      </c>
      <c r="R69" s="53">
        <f t="shared" si="123"/>
        <v>19700000</v>
      </c>
      <c r="S69" s="53">
        <f t="shared" si="122"/>
        <v>20700000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7">
        <f t="shared" si="121"/>
        <v>295700000</v>
      </c>
    </row>
    <row r="70" spans="1:32" ht="15" customHeight="1">
      <c r="A70" s="285" t="s">
        <v>88</v>
      </c>
      <c r="B70" s="150"/>
      <c r="C70" s="139"/>
      <c r="D70" s="139"/>
      <c r="E70" s="211">
        <f>ROUNDDOWN(E69-E68,-3)</f>
        <v>6960000</v>
      </c>
      <c r="F70" s="255">
        <f t="shared" ref="F70:S70" si="124">ROUNDDOWN(F69-F68,-3)</f>
        <v>7880000</v>
      </c>
      <c r="G70" s="255">
        <f t="shared" si="124"/>
        <v>8850000</v>
      </c>
      <c r="H70" s="255">
        <f t="shared" ref="H70:R70" si="125">ROUNDDOWN(H69-H68,-3)</f>
        <v>9820000</v>
      </c>
      <c r="I70" s="255">
        <f t="shared" si="125"/>
        <v>10790000</v>
      </c>
      <c r="J70" s="255">
        <f t="shared" si="125"/>
        <v>11760000</v>
      </c>
      <c r="K70" s="255">
        <f t="shared" si="125"/>
        <v>12730000</v>
      </c>
      <c r="L70" s="255">
        <f t="shared" si="125"/>
        <v>13700000</v>
      </c>
      <c r="M70" s="255">
        <f t="shared" si="125"/>
        <v>14700000</v>
      </c>
      <c r="N70" s="255">
        <f t="shared" si="125"/>
        <v>15700000</v>
      </c>
      <c r="O70" s="255">
        <f t="shared" si="125"/>
        <v>16700000</v>
      </c>
      <c r="P70" s="255">
        <f t="shared" si="125"/>
        <v>17700000</v>
      </c>
      <c r="Q70" s="255">
        <f t="shared" si="125"/>
        <v>18700000</v>
      </c>
      <c r="R70" s="255">
        <f t="shared" si="125"/>
        <v>19700000</v>
      </c>
      <c r="S70" s="255">
        <f t="shared" si="124"/>
        <v>20700000</v>
      </c>
      <c r="T70" s="255"/>
      <c r="U70" s="255">
        <f t="shared" ref="U70:W70" si="126">ROUNDDOWN(U69-U68,-3)</f>
        <v>0</v>
      </c>
      <c r="V70" s="255">
        <f t="shared" si="126"/>
        <v>0</v>
      </c>
      <c r="W70" s="291">
        <f t="shared" si="126"/>
        <v>262000</v>
      </c>
      <c r="X70" s="248"/>
      <c r="Z70" s="209"/>
      <c r="AA70" s="209"/>
      <c r="AB70" s="209"/>
      <c r="AC70" s="209"/>
      <c r="AD70" s="209"/>
      <c r="AE70" s="209"/>
      <c r="AF70" s="209"/>
    </row>
    <row r="71" spans="1:32" ht="15" customHeight="1">
      <c r="A71" s="282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8">
        <f t="shared" ref="E71:S71" si="127">ROUNDDOWN(E69*VLOOKUP(E69,$AE$38:$AF$45,2)-VLOOKUP(E69,$AE$48:$AF$55,2),0)</f>
        <v>985060</v>
      </c>
      <c r="F71" s="256">
        <f t="shared" si="127"/>
        <v>1201104</v>
      </c>
      <c r="G71" s="256">
        <f t="shared" si="127"/>
        <v>1428889</v>
      </c>
      <c r="H71" s="256">
        <f t="shared" si="127"/>
        <v>1740396</v>
      </c>
      <c r="I71" s="256">
        <f t="shared" si="127"/>
        <v>2067218</v>
      </c>
      <c r="J71" s="256">
        <f t="shared" si="127"/>
        <v>2394040</v>
      </c>
      <c r="K71" s="256">
        <f t="shared" si="127"/>
        <v>2720862</v>
      </c>
      <c r="L71" s="256">
        <f t="shared" si="127"/>
        <v>3047685</v>
      </c>
      <c r="M71" s="256">
        <f t="shared" si="127"/>
        <v>3384615</v>
      </c>
      <c r="N71" s="256">
        <f t="shared" si="127"/>
        <v>3721545</v>
      </c>
      <c r="O71" s="256">
        <f t="shared" si="127"/>
        <v>4058475</v>
      </c>
      <c r="P71" s="256">
        <f t="shared" si="127"/>
        <v>4395405</v>
      </c>
      <c r="Q71" s="256">
        <f t="shared" si="127"/>
        <v>4782364</v>
      </c>
      <c r="R71" s="256">
        <f t="shared" si="127"/>
        <v>5190764</v>
      </c>
      <c r="S71" s="256">
        <f t="shared" si="127"/>
        <v>5599164</v>
      </c>
      <c r="T71" s="256"/>
      <c r="U71" s="256">
        <f>ROUNDDOWN(U69*VLOOKUP(U69,$AE$38:$AF$45,2)-VLOOKUP(U69,$AE$48:$AF$55,2),0)</f>
        <v>0</v>
      </c>
      <c r="V71" s="256">
        <f>ROUNDDOWN(V69*VLOOKUP(V69,$AE$38:$AF$45,2)-VLOOKUP(V69,$AE$48:$AF$55,2),0)</f>
        <v>0</v>
      </c>
      <c r="W71" s="253">
        <f>ROUNDDOWN(W69*VLOOKUP(W69,$AE$38:$AF$45,2)-VLOOKUP(W69,$AE$48:$AF$55,2),0)</f>
        <v>0</v>
      </c>
      <c r="X71" s="223">
        <f>ROUNDDOWN(X69*VLOOKUP(X69,$AE$38:$AF$44,2)-VLOOKUP(X69,$AE$48:$AF$54,2),-2)</f>
        <v>117909100</v>
      </c>
    </row>
    <row r="72" spans="1:32" ht="15" customHeight="1">
      <c r="A72" s="282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3"/>
    </row>
    <row r="73" spans="1:32" ht="15" customHeight="1">
      <c r="A73" s="282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985060</v>
      </c>
      <c r="F73" s="6">
        <f t="shared" ref="F73:S73" si="128">F71-F72</f>
        <v>1201104</v>
      </c>
      <c r="G73" s="6">
        <f t="shared" si="128"/>
        <v>1428889</v>
      </c>
      <c r="H73" s="6">
        <f t="shared" ref="H73:R73" si="129">H71-H72</f>
        <v>1740396</v>
      </c>
      <c r="I73" s="6">
        <f t="shared" si="129"/>
        <v>2067218</v>
      </c>
      <c r="J73" s="6">
        <f t="shared" si="129"/>
        <v>2394040</v>
      </c>
      <c r="K73" s="6">
        <f t="shared" si="129"/>
        <v>2720862</v>
      </c>
      <c r="L73" s="6">
        <f t="shared" si="129"/>
        <v>3047685</v>
      </c>
      <c r="M73" s="6">
        <f t="shared" si="129"/>
        <v>3384615</v>
      </c>
      <c r="N73" s="6">
        <f t="shared" si="129"/>
        <v>3721545</v>
      </c>
      <c r="O73" s="6">
        <f t="shared" si="129"/>
        <v>4058475</v>
      </c>
      <c r="P73" s="6">
        <f t="shared" si="129"/>
        <v>4395405</v>
      </c>
      <c r="Q73" s="6">
        <f t="shared" si="129"/>
        <v>4782364</v>
      </c>
      <c r="R73" s="6">
        <f t="shared" si="129"/>
        <v>5190764</v>
      </c>
      <c r="S73" s="6">
        <f t="shared" si="128"/>
        <v>5599164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3">
        <f t="shared" si="130"/>
        <v>117909100</v>
      </c>
    </row>
    <row r="74" spans="1:32" ht="24" customHeight="1">
      <c r="A74" s="285" t="s">
        <v>90</v>
      </c>
      <c r="B74" s="150"/>
      <c r="C74" s="150"/>
      <c r="D74" s="139"/>
      <c r="E74" s="218">
        <f t="shared" ref="E74:S74" si="131">ROUNDDOWN(E70*VLOOKUP(E70,$AE$38:$AF$45,2)-VLOOKUP(E70,$AE$48:$AF$55,2),0)</f>
        <v>985060</v>
      </c>
      <c r="F74" s="256">
        <f t="shared" si="131"/>
        <v>1201104</v>
      </c>
      <c r="G74" s="256">
        <f t="shared" si="131"/>
        <v>1428889</v>
      </c>
      <c r="H74" s="256">
        <f t="shared" si="131"/>
        <v>1740396</v>
      </c>
      <c r="I74" s="256">
        <f t="shared" si="131"/>
        <v>2067218</v>
      </c>
      <c r="J74" s="256">
        <f t="shared" si="131"/>
        <v>2394040</v>
      </c>
      <c r="K74" s="256">
        <f t="shared" si="131"/>
        <v>2720862</v>
      </c>
      <c r="L74" s="256">
        <f t="shared" si="131"/>
        <v>3047685</v>
      </c>
      <c r="M74" s="256">
        <f t="shared" si="131"/>
        <v>3384615</v>
      </c>
      <c r="N74" s="256">
        <f t="shared" si="131"/>
        <v>3721545</v>
      </c>
      <c r="O74" s="256">
        <f t="shared" si="131"/>
        <v>4058475</v>
      </c>
      <c r="P74" s="256">
        <f t="shared" si="131"/>
        <v>4395405</v>
      </c>
      <c r="Q74" s="256">
        <f t="shared" si="131"/>
        <v>4782364</v>
      </c>
      <c r="R74" s="256">
        <f t="shared" si="131"/>
        <v>5190764</v>
      </c>
      <c r="S74" s="256">
        <f t="shared" si="131"/>
        <v>5599164</v>
      </c>
      <c r="T74" s="256"/>
      <c r="U74" s="256">
        <f>ROUNDDOWN(U70*VLOOKUP(U70,$AE$38:$AF$45,2)-VLOOKUP(U70,$AE$48:$AF$55,2),0)</f>
        <v>0</v>
      </c>
      <c r="V74" s="256">
        <f>ROUNDDOWN(V70*VLOOKUP(V70,$AE$38:$AF$45,2)-VLOOKUP(V70,$AE$48:$AF$55,2),0)</f>
        <v>0</v>
      </c>
      <c r="W74" s="253">
        <f>ROUNDDOWN(W70*VLOOKUP(W70,$AE$38:$AF$45,2)-VLOOKUP(W70,$AE$48:$AF$55,2),0)</f>
        <v>13375</v>
      </c>
      <c r="X74" s="248"/>
    </row>
    <row r="75" spans="1:32" ht="24" customHeight="1" thickBot="1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9"/>
      <c r="X75" s="223"/>
    </row>
    <row r="76" spans="1:32" ht="24" customHeight="1" thickBot="1">
      <c r="A76" s="153" t="s">
        <v>82</v>
      </c>
      <c r="B76" s="154">
        <f>B73+B74</f>
        <v>312900</v>
      </c>
      <c r="C76" s="154">
        <f>C73+C74</f>
        <v>312900</v>
      </c>
      <c r="D76" s="155">
        <f>D73</f>
        <v>0</v>
      </c>
      <c r="E76" s="156">
        <f>E73</f>
        <v>985060</v>
      </c>
      <c r="F76" s="155">
        <f t="shared" ref="F76:S76" si="132">F73</f>
        <v>1201104</v>
      </c>
      <c r="G76" s="155">
        <f t="shared" si="132"/>
        <v>1428889</v>
      </c>
      <c r="H76" s="155">
        <f t="shared" ref="H76:R76" si="133">H73</f>
        <v>1740396</v>
      </c>
      <c r="I76" s="155">
        <f t="shared" si="133"/>
        <v>2067218</v>
      </c>
      <c r="J76" s="155">
        <f t="shared" si="133"/>
        <v>2394040</v>
      </c>
      <c r="K76" s="155">
        <f t="shared" si="133"/>
        <v>2720862</v>
      </c>
      <c r="L76" s="155">
        <f t="shared" si="133"/>
        <v>3047685</v>
      </c>
      <c r="M76" s="155">
        <f t="shared" si="133"/>
        <v>3384615</v>
      </c>
      <c r="N76" s="155">
        <f t="shared" si="133"/>
        <v>3721545</v>
      </c>
      <c r="O76" s="155">
        <f t="shared" si="133"/>
        <v>4058475</v>
      </c>
      <c r="P76" s="155">
        <f t="shared" si="133"/>
        <v>4395405</v>
      </c>
      <c r="Q76" s="155">
        <f t="shared" si="133"/>
        <v>4782364</v>
      </c>
      <c r="R76" s="155">
        <f t="shared" si="133"/>
        <v>5190764</v>
      </c>
      <c r="S76" s="155">
        <f t="shared" si="132"/>
        <v>5599164</v>
      </c>
      <c r="T76" s="155"/>
      <c r="U76" s="155">
        <f t="shared" ref="U76:X77" si="134">U73</f>
        <v>0</v>
      </c>
      <c r="V76" s="155">
        <f t="shared" si="134"/>
        <v>0</v>
      </c>
      <c r="W76" s="157">
        <f t="shared" si="134"/>
        <v>0</v>
      </c>
      <c r="X76" s="249">
        <f t="shared" si="134"/>
        <v>117909100</v>
      </c>
    </row>
    <row r="77" spans="1:32" ht="24" customHeight="1">
      <c r="A77" s="158" t="s">
        <v>89</v>
      </c>
      <c r="B77" s="150"/>
      <c r="C77" s="139"/>
      <c r="D77" s="139"/>
      <c r="E77" s="151">
        <f>E74</f>
        <v>985060</v>
      </c>
      <c r="F77" s="139">
        <f t="shared" ref="F77:S77" si="135">F74</f>
        <v>1201104</v>
      </c>
      <c r="G77" s="139">
        <f t="shared" si="135"/>
        <v>1428889</v>
      </c>
      <c r="H77" s="139">
        <f t="shared" ref="H77:R77" si="136">H74</f>
        <v>1740396</v>
      </c>
      <c r="I77" s="139">
        <f t="shared" si="136"/>
        <v>2067218</v>
      </c>
      <c r="J77" s="139">
        <f t="shared" si="136"/>
        <v>2394040</v>
      </c>
      <c r="K77" s="139">
        <f t="shared" si="136"/>
        <v>2720862</v>
      </c>
      <c r="L77" s="139">
        <f t="shared" si="136"/>
        <v>3047685</v>
      </c>
      <c r="M77" s="139">
        <f t="shared" si="136"/>
        <v>3384615</v>
      </c>
      <c r="N77" s="139">
        <f t="shared" si="136"/>
        <v>3721545</v>
      </c>
      <c r="O77" s="139">
        <f t="shared" si="136"/>
        <v>4058475</v>
      </c>
      <c r="P77" s="139">
        <f t="shared" si="136"/>
        <v>4395405</v>
      </c>
      <c r="Q77" s="139">
        <f t="shared" si="136"/>
        <v>4782364</v>
      </c>
      <c r="R77" s="139">
        <f t="shared" si="136"/>
        <v>5190764</v>
      </c>
      <c r="S77" s="139">
        <f t="shared" si="135"/>
        <v>5599164</v>
      </c>
      <c r="T77" s="139"/>
      <c r="U77" s="139">
        <f t="shared" si="134"/>
        <v>0</v>
      </c>
      <c r="V77" s="139">
        <f t="shared" si="134"/>
        <v>0</v>
      </c>
      <c r="W77" s="152">
        <f t="shared" si="134"/>
        <v>13375</v>
      </c>
      <c r="X77" s="248"/>
      <c r="Y77" s="6"/>
    </row>
    <row r="78" spans="1:32" ht="24" customHeight="1" thickBot="1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3"/>
      <c r="Y78" s="6"/>
      <c r="AA78" s="6"/>
      <c r="AB78" s="6"/>
    </row>
    <row r="79" spans="1:32" ht="18" customHeight="1">
      <c r="A79" s="160" t="s">
        <v>41</v>
      </c>
      <c r="B79" s="161">
        <f>B76+B38</f>
        <v>682400</v>
      </c>
      <c r="C79" s="162">
        <f>C76+C55-C50-C51</f>
        <v>308900</v>
      </c>
      <c r="D79" s="163">
        <f t="shared" ref="D79:X79" si="137">D76+D38</f>
        <v>0</v>
      </c>
      <c r="E79" s="164">
        <f t="shared" si="137"/>
        <v>1683560</v>
      </c>
      <c r="F79" s="163">
        <f t="shared" ref="F79:S79" si="138">F76+F38</f>
        <v>1991604</v>
      </c>
      <c r="G79" s="163">
        <f t="shared" si="138"/>
        <v>2316389</v>
      </c>
      <c r="H79" s="163">
        <f t="shared" ref="H79:R79" si="139">H76+H38</f>
        <v>2724896</v>
      </c>
      <c r="I79" s="163">
        <f t="shared" si="139"/>
        <v>3148718</v>
      </c>
      <c r="J79" s="163">
        <f t="shared" si="139"/>
        <v>3572540</v>
      </c>
      <c r="K79" s="163">
        <f t="shared" si="139"/>
        <v>3996362</v>
      </c>
      <c r="L79" s="163">
        <f t="shared" si="139"/>
        <v>4420185</v>
      </c>
      <c r="M79" s="163">
        <f t="shared" si="139"/>
        <v>4857115</v>
      </c>
      <c r="N79" s="163">
        <f t="shared" si="139"/>
        <v>5294045</v>
      </c>
      <c r="O79" s="163">
        <f t="shared" si="139"/>
        <v>5730975</v>
      </c>
      <c r="P79" s="163">
        <f t="shared" si="139"/>
        <v>6167905</v>
      </c>
      <c r="Q79" s="163">
        <f t="shared" si="139"/>
        <v>6654864</v>
      </c>
      <c r="R79" s="163">
        <f t="shared" si="139"/>
        <v>7163264</v>
      </c>
      <c r="S79" s="163">
        <f t="shared" si="138"/>
        <v>7671664</v>
      </c>
      <c r="T79" s="163"/>
      <c r="U79" s="163">
        <f t="shared" si="137"/>
        <v>0</v>
      </c>
      <c r="V79" s="163">
        <f t="shared" si="137"/>
        <v>0</v>
      </c>
      <c r="W79" s="165">
        <f t="shared" si="137"/>
        <v>0</v>
      </c>
      <c r="X79" s="250">
        <f t="shared" si="137"/>
        <v>146041600</v>
      </c>
      <c r="Y79" s="6"/>
      <c r="Z79" s="6"/>
      <c r="AA79" s="6"/>
      <c r="AB79" s="6"/>
    </row>
    <row r="80" spans="1:32" ht="19.5" customHeight="1" thickBot="1">
      <c r="A80" s="166" t="s">
        <v>42</v>
      </c>
      <c r="B80" s="116">
        <f>B76+B54</f>
        <v>686400</v>
      </c>
      <c r="C80" s="167">
        <f>C76+C55</f>
        <v>312900</v>
      </c>
      <c r="D80" s="168">
        <f t="shared" ref="D80:X80" si="140">D76+D54</f>
        <v>4000</v>
      </c>
      <c r="E80" s="169">
        <f t="shared" si="140"/>
        <v>1688560</v>
      </c>
      <c r="F80" s="168">
        <f t="shared" ref="F80:S80" si="141">F76+F54</f>
        <v>1996604</v>
      </c>
      <c r="G80" s="168">
        <f t="shared" si="141"/>
        <v>2321389</v>
      </c>
      <c r="H80" s="168">
        <f t="shared" ref="H80:R80" si="142">H76+H54</f>
        <v>2729896</v>
      </c>
      <c r="I80" s="168">
        <f t="shared" si="142"/>
        <v>3153718</v>
      </c>
      <c r="J80" s="168">
        <f t="shared" si="142"/>
        <v>3577540</v>
      </c>
      <c r="K80" s="168">
        <f t="shared" si="142"/>
        <v>4001362</v>
      </c>
      <c r="L80" s="168">
        <f t="shared" si="142"/>
        <v>4425185</v>
      </c>
      <c r="M80" s="168">
        <f t="shared" si="142"/>
        <v>4862115</v>
      </c>
      <c r="N80" s="168">
        <f t="shared" si="142"/>
        <v>5299045</v>
      </c>
      <c r="O80" s="168">
        <f t="shared" si="142"/>
        <v>5735975</v>
      </c>
      <c r="P80" s="168">
        <f t="shared" si="142"/>
        <v>6172905</v>
      </c>
      <c r="Q80" s="168">
        <f t="shared" si="142"/>
        <v>6659864</v>
      </c>
      <c r="R80" s="168">
        <f t="shared" si="142"/>
        <v>7168264</v>
      </c>
      <c r="S80" s="168">
        <f t="shared" si="141"/>
        <v>7676664</v>
      </c>
      <c r="T80" s="168"/>
      <c r="U80" s="168">
        <f t="shared" si="140"/>
        <v>5000</v>
      </c>
      <c r="V80" s="168">
        <f t="shared" si="140"/>
        <v>5000</v>
      </c>
      <c r="W80" s="170">
        <f t="shared" si="140"/>
        <v>5000</v>
      </c>
      <c r="X80" s="251">
        <f t="shared" si="140"/>
        <v>146045700</v>
      </c>
      <c r="Y80" s="6"/>
      <c r="Z80" s="6"/>
      <c r="AA80" s="6"/>
      <c r="AB80" s="6"/>
    </row>
    <row r="81" spans="1:28" ht="19.5" customHeight="1">
      <c r="B81" s="140"/>
      <c r="C81" s="140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6"/>
      <c r="Y81" s="6"/>
      <c r="Z81" s="6"/>
      <c r="AA81" s="6"/>
      <c r="AB81" s="6"/>
    </row>
    <row r="82" spans="1:28" ht="19.5" customHeight="1">
      <c r="A82" s="171" t="s">
        <v>51</v>
      </c>
      <c r="B82" s="140">
        <f t="shared" ref="B82:X82" si="143">B9-B80</f>
        <v>6313600</v>
      </c>
      <c r="C82" s="140">
        <f t="shared" si="143"/>
        <v>6687100</v>
      </c>
      <c r="D82" s="1">
        <f t="shared" si="143"/>
        <v>-4000</v>
      </c>
      <c r="E82" s="52">
        <f t="shared" si="143"/>
        <v>9311440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6">
        <f t="shared" si="143"/>
        <v>153954300</v>
      </c>
      <c r="Y82" s="6"/>
      <c r="Z82" s="6"/>
      <c r="AA82" s="6"/>
      <c r="AB82" s="6"/>
    </row>
    <row r="83" spans="1:28" ht="19.5" customHeight="1">
      <c r="A83" s="171" t="s">
        <v>52</v>
      </c>
      <c r="B83" s="140">
        <f t="shared" ref="B83:X83" si="144">B82-B17</f>
        <v>5263600</v>
      </c>
      <c r="C83" s="140">
        <f t="shared" si="144"/>
        <v>5637100</v>
      </c>
      <c r="D83" s="1">
        <f t="shared" si="144"/>
        <v>-4000</v>
      </c>
      <c r="E83" s="52">
        <f t="shared" si="144"/>
        <v>7901440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2">
        <f t="shared" si="144"/>
        <v>152334300</v>
      </c>
      <c r="Y83" s="6"/>
      <c r="Z83" s="6"/>
      <c r="AA83" s="6"/>
      <c r="AB83" s="6"/>
    </row>
    <row r="84" spans="1:28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2"/>
      <c r="Y84" s="6"/>
      <c r="Z84" s="6"/>
      <c r="AA84" s="6"/>
      <c r="AB84" s="6"/>
    </row>
    <row r="85" spans="1:28" ht="15" customHeight="1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2"/>
      <c r="Y85" s="6"/>
      <c r="Z85" s="6"/>
      <c r="AA85" s="6"/>
      <c r="AB85" s="6"/>
    </row>
    <row r="86" spans="1:28" ht="15" customHeight="1">
      <c r="A86" s="7" t="s">
        <v>79</v>
      </c>
      <c r="B86" s="7"/>
      <c r="C86" s="7"/>
      <c r="D86" s="7"/>
      <c r="E86" s="7">
        <f t="shared" ref="E86:W86" si="145">E47</f>
        <v>212021.49826360177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>
      <c r="A87" s="7" t="s">
        <v>83</v>
      </c>
      <c r="B87" s="301"/>
      <c r="C87" s="301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>
      <c r="A88" s="7" t="s">
        <v>85</v>
      </c>
      <c r="B88" s="8"/>
      <c r="C88" s="8"/>
      <c r="D88" s="7"/>
      <c r="E88" s="220">
        <f>(E86-E87)*VLOOKUP(E70,$AE$38:$AF$45,2)</f>
        <v>49319.348437241606</v>
      </c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>
        <f>(U86-U87)*VLOOKUP(U70,$AE$38:$AF$45,2)</f>
        <v>0</v>
      </c>
      <c r="V88" s="220">
        <f>(V86-V87)*VLOOKUP(V70,$AE$38:$AF$45,2)</f>
        <v>0</v>
      </c>
      <c r="W88" s="220">
        <f>(W86-W87)*VLOOKUP(W70,$AE$38:$AF$45,2)</f>
        <v>0</v>
      </c>
      <c r="X88" s="6"/>
      <c r="Z88" s="6"/>
      <c r="AA88" s="6"/>
      <c r="AB88" s="6"/>
    </row>
    <row r="89" spans="1:28" ht="15" customHeight="1">
      <c r="A89" s="7" t="s">
        <v>84</v>
      </c>
      <c r="B89" s="301"/>
      <c r="C89" s="8"/>
      <c r="D89" s="7"/>
      <c r="E89" s="7">
        <f>(E86-E87)*0.1</f>
        <v>21002.149826360179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>
      <c r="A90" s="7" t="s">
        <v>86</v>
      </c>
      <c r="B90" s="301"/>
      <c r="C90" s="8"/>
      <c r="D90" s="7"/>
      <c r="E90" s="7">
        <f>(E86-E87)*E46</f>
        <v>139700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>
      <c r="A91" s="7" t="s">
        <v>91</v>
      </c>
      <c r="B91" s="311"/>
      <c r="C91" s="311"/>
      <c r="D91" s="7"/>
      <c r="E91" s="7">
        <f>SUM(E87:E90)</f>
        <v>212021.4982636018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>
      <c r="A92" s="6"/>
      <c r="B92" s="6"/>
      <c r="C92" s="6"/>
      <c r="D92" s="6"/>
      <c r="E92" s="88" t="str">
        <f t="shared" ref="E92:W92" si="149">IF(E91=E47,"ok","  ")</f>
        <v>ok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 t="str">
        <f t="shared" si="149"/>
        <v>ok</v>
      </c>
      <c r="V92" s="88" t="str">
        <f t="shared" si="149"/>
        <v>ok</v>
      </c>
      <c r="W92" s="88" t="str">
        <f t="shared" si="149"/>
        <v>ok</v>
      </c>
      <c r="X92" s="6"/>
    </row>
    <row r="93" spans="1:28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pageSetup paperSize="9" scale="43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0" zoomScaleNormal="100" zoomScaleSheetLayoutView="80" workbookViewId="0">
      <selection activeCell="N16" sqref="N16"/>
    </sheetView>
  </sheetViews>
  <sheetFormatPr defaultColWidth="8.875" defaultRowHeight="13.5"/>
  <cols>
    <col min="1" max="2" width="2.875" style="175" customWidth="1"/>
    <col min="3" max="3" width="25.5" style="175" customWidth="1"/>
    <col min="4" max="4" width="11.625" style="175" customWidth="1"/>
    <col min="5" max="5" width="4.5" style="179" customWidth="1"/>
    <col min="6" max="9" width="8.875" style="175"/>
    <col min="10" max="10" width="1.5" style="175" customWidth="1"/>
    <col min="11" max="16384" width="8.875" style="175"/>
  </cols>
  <sheetData>
    <row r="1" spans="1:9" ht="13.15" customHeight="1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9" customHeight="1">
      <c r="A2" s="188"/>
      <c r="B2" s="322" t="s">
        <v>115</v>
      </c>
      <c r="C2" s="323"/>
      <c r="D2" s="323"/>
      <c r="E2" s="323"/>
      <c r="F2" s="323"/>
      <c r="G2" s="323"/>
      <c r="H2" s="323"/>
      <c r="I2" s="324"/>
    </row>
    <row r="3" spans="1:9" ht="7.15" customHeight="1">
      <c r="A3" s="183"/>
      <c r="B3" s="183"/>
      <c r="C3" s="183"/>
      <c r="D3" s="183"/>
      <c r="E3" s="183"/>
    </row>
    <row r="4" spans="1:9" ht="24" customHeight="1">
      <c r="A4" s="195" t="s">
        <v>116</v>
      </c>
      <c r="B4" s="183"/>
      <c r="C4" s="183"/>
      <c r="D4" s="183"/>
      <c r="E4" s="183"/>
    </row>
    <row r="5" spans="1:9">
      <c r="A5" s="183"/>
      <c r="B5" s="183"/>
      <c r="C5" s="183"/>
      <c r="D5" s="183"/>
      <c r="E5" s="183"/>
    </row>
    <row r="6" spans="1:9" ht="17.45" customHeight="1">
      <c r="A6" s="175" t="s">
        <v>114</v>
      </c>
    </row>
    <row r="7" spans="1:9" ht="19.899999999999999" customHeight="1">
      <c r="B7" s="318" t="s">
        <v>102</v>
      </c>
      <c r="C7" s="319"/>
      <c r="D7" s="199"/>
      <c r="E7" s="182" t="s">
        <v>103</v>
      </c>
    </row>
    <row r="8" spans="1:9" ht="17.45" customHeight="1">
      <c r="B8" s="191" t="s">
        <v>112</v>
      </c>
      <c r="C8" s="180"/>
      <c r="D8" s="181"/>
      <c r="E8" s="180"/>
    </row>
    <row r="9" spans="1:9" ht="9" customHeight="1">
      <c r="B9" s="180"/>
      <c r="C9" s="180"/>
      <c r="D9" s="181"/>
      <c r="E9" s="180"/>
    </row>
    <row r="10" spans="1:9" ht="17.45" customHeight="1">
      <c r="A10" s="175" t="s">
        <v>104</v>
      </c>
    </row>
    <row r="11" spans="1:9" ht="19.899999999999999" customHeight="1">
      <c r="B11" s="328" t="s">
        <v>118</v>
      </c>
      <c r="C11" s="329"/>
      <c r="D11" s="329"/>
      <c r="E11" s="330"/>
    </row>
    <row r="12" spans="1:9" ht="19.899999999999999" customHeight="1">
      <c r="B12" s="326"/>
      <c r="C12" s="197" t="s">
        <v>119</v>
      </c>
      <c r="D12" s="200"/>
      <c r="E12" s="196" t="s">
        <v>4</v>
      </c>
    </row>
    <row r="13" spans="1:9" ht="19.899999999999999" customHeight="1">
      <c r="B13" s="327"/>
      <c r="C13" s="198" t="s">
        <v>120</v>
      </c>
      <c r="D13" s="200"/>
      <c r="E13" s="196" t="s">
        <v>4</v>
      </c>
    </row>
    <row r="14" spans="1:9" ht="19.899999999999999" customHeight="1">
      <c r="B14" s="328" t="s">
        <v>7</v>
      </c>
      <c r="C14" s="329"/>
      <c r="D14" s="329"/>
      <c r="E14" s="330"/>
    </row>
    <row r="15" spans="1:9" ht="19.899999999999999" customHeight="1">
      <c r="B15" s="177"/>
      <c r="C15" s="176" t="s">
        <v>107</v>
      </c>
      <c r="D15" s="199"/>
      <c r="E15" s="182" t="s">
        <v>4</v>
      </c>
    </row>
    <row r="16" spans="1:9" ht="19.899999999999999" customHeight="1">
      <c r="B16" s="177"/>
      <c r="C16" s="176" t="s">
        <v>108</v>
      </c>
      <c r="D16" s="199"/>
      <c r="E16" s="182" t="s">
        <v>4</v>
      </c>
    </row>
    <row r="17" spans="1:10" ht="19.899999999999999" customHeight="1">
      <c r="B17" s="177"/>
      <c r="C17" s="176" t="s">
        <v>109</v>
      </c>
      <c r="D17" s="199"/>
      <c r="E17" s="182" t="s">
        <v>4</v>
      </c>
    </row>
    <row r="18" spans="1:10" ht="19.899999999999999" customHeight="1">
      <c r="B18" s="178"/>
      <c r="C18" s="176" t="s">
        <v>100</v>
      </c>
      <c r="D18" s="199"/>
      <c r="E18" s="182" t="s">
        <v>4</v>
      </c>
    </row>
    <row r="19" spans="1:10" ht="12" customHeight="1">
      <c r="B19" s="181"/>
      <c r="C19" s="181"/>
      <c r="D19" s="181"/>
      <c r="E19" s="180"/>
    </row>
    <row r="20" spans="1:10" ht="17.45" customHeight="1">
      <c r="A20" s="175" t="s">
        <v>105</v>
      </c>
      <c r="E20" s="180"/>
    </row>
    <row r="21" spans="1:10" ht="23.45" customHeight="1">
      <c r="B21" s="318" t="s">
        <v>101</v>
      </c>
      <c r="C21" s="319"/>
      <c r="D21" s="199"/>
      <c r="E21" s="182" t="s">
        <v>103</v>
      </c>
    </row>
    <row r="22" spans="1:10" ht="17.45" customHeight="1">
      <c r="B22" s="180"/>
      <c r="C22" s="180"/>
      <c r="D22" s="181"/>
      <c r="E22" s="180"/>
    </row>
    <row r="23" spans="1:10" ht="31.15" customHeight="1">
      <c r="B23" s="180"/>
      <c r="C23" s="180"/>
      <c r="D23" s="181"/>
      <c r="E23" s="180"/>
    </row>
    <row r="24" spans="1:10" ht="17.45" customHeight="1" thickBot="1">
      <c r="B24" s="180"/>
      <c r="C24" s="180"/>
      <c r="D24" s="181"/>
      <c r="E24" s="180"/>
    </row>
    <row r="25" spans="1:10" ht="45" customHeight="1" thickTop="1" thickBot="1">
      <c r="B25" s="320" t="s">
        <v>106</v>
      </c>
      <c r="C25" s="321"/>
      <c r="D25" s="189">
        <f>計算欄!W44</f>
        <v>0</v>
      </c>
      <c r="E25" s="190" t="s">
        <v>103</v>
      </c>
      <c r="F25" s="184"/>
      <c r="G25" s="184"/>
    </row>
    <row r="26" spans="1:10" ht="8.4499999999999993" customHeight="1" thickTop="1">
      <c r="B26" s="184"/>
      <c r="C26" s="184"/>
      <c r="D26" s="184"/>
      <c r="E26" s="185"/>
      <c r="F26" s="184"/>
      <c r="G26" s="184"/>
    </row>
    <row r="27" spans="1:10" ht="28.15" customHeight="1">
      <c r="B27" s="184"/>
      <c r="C27" s="192" t="s">
        <v>110</v>
      </c>
      <c r="D27" s="193">
        <f>D21-D25</f>
        <v>0</v>
      </c>
      <c r="E27" s="194" t="s">
        <v>111</v>
      </c>
      <c r="F27" s="185" t="s">
        <v>113</v>
      </c>
      <c r="G27" s="184"/>
    </row>
    <row r="28" spans="1:10" ht="10.9" customHeight="1">
      <c r="B28" s="184"/>
      <c r="C28" s="186"/>
      <c r="D28" s="184"/>
      <c r="E28" s="185"/>
      <c r="F28" s="184"/>
      <c r="G28" s="184"/>
    </row>
    <row r="29" spans="1:10" ht="28.15" customHeight="1">
      <c r="A29" s="325" t="s">
        <v>117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2017-01-20T05:01:37Z</dcterms:modified>
</cp:coreProperties>
</file>